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sluszna\Desktop\"/>
    </mc:Choice>
  </mc:AlternateContent>
  <bookViews>
    <workbookView xWindow="0" yWindow="0" windowWidth="28800" windowHeight="12300"/>
  </bookViews>
  <sheets>
    <sheet name="Obiekty_MOSRiR" sheetId="1" r:id="rId1"/>
  </sheets>
  <definedNames>
    <definedName name="_xlnm.Print_Area" localSheetId="0">Obiekty_MOSRiR!$A$1:$AC$65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29" i="1"/>
  <c r="G28" i="1"/>
  <c r="G26" i="1"/>
  <c r="G25" i="1"/>
  <c r="G23" i="1"/>
  <c r="G21" i="1"/>
  <c r="G20" i="1"/>
  <c r="G19" i="1"/>
  <c r="G15" i="1"/>
  <c r="G14" i="1"/>
  <c r="G13" i="1"/>
  <c r="G11" i="1"/>
  <c r="G10" i="1"/>
  <c r="G8" i="1"/>
  <c r="G6" i="1"/>
  <c r="G5" i="1"/>
  <c r="G18" i="1"/>
  <c r="G17" i="1"/>
  <c r="G16" i="1"/>
  <c r="G12" i="1"/>
  <c r="F32" i="1"/>
  <c r="F31" i="1"/>
  <c r="F29" i="1"/>
  <c r="F26" i="1"/>
  <c r="F25" i="1"/>
  <c r="F23" i="1"/>
  <c r="F21" i="1"/>
  <c r="F20" i="1"/>
  <c r="F19" i="1"/>
  <c r="F18" i="1"/>
  <c r="F15" i="1"/>
  <c r="F14" i="1"/>
  <c r="F13" i="1"/>
  <c r="F11" i="1"/>
  <c r="F10" i="1"/>
  <c r="F8" i="1"/>
  <c r="F6" i="1"/>
  <c r="F5" i="1"/>
  <c r="F28" i="1"/>
  <c r="F22" i="1"/>
  <c r="F17" i="1"/>
  <c r="F16" i="1"/>
  <c r="F12" i="1"/>
  <c r="C30" i="1"/>
  <c r="C26" i="1"/>
  <c r="C25" i="1"/>
  <c r="C24" i="1"/>
  <c r="C23" i="1"/>
  <c r="C22" i="1"/>
  <c r="C21" i="1"/>
  <c r="C20" i="1"/>
  <c r="C15" i="1"/>
  <c r="C13" i="1"/>
  <c r="C11" i="1"/>
  <c r="C10" i="1"/>
  <c r="C8" i="1"/>
  <c r="C6" i="1"/>
  <c r="C5" i="1"/>
  <c r="C29" i="1"/>
  <c r="C19" i="1"/>
  <c r="C18" i="1"/>
  <c r="C17" i="1"/>
  <c r="C16" i="1"/>
  <c r="C14" i="1"/>
  <c r="C12" i="1"/>
  <c r="E32" i="1"/>
  <c r="E31" i="1"/>
  <c r="E29" i="1"/>
  <c r="E28" i="1"/>
  <c r="E27" i="1"/>
  <c r="F27" i="1" s="1"/>
  <c r="G27" i="1" s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F9" i="1" s="1"/>
  <c r="E8" i="1"/>
  <c r="E6" i="1"/>
  <c r="E5" i="1"/>
  <c r="C7" i="1"/>
  <c r="D32" i="1"/>
  <c r="D30" i="1"/>
  <c r="D29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  <c r="E7" i="1" s="1"/>
  <c r="F7" i="1" s="1"/>
  <c r="G7" i="1" s="1"/>
  <c r="D6" i="1"/>
  <c r="D5" i="1"/>
  <c r="C33" i="1" l="1"/>
  <c r="E33" i="1"/>
  <c r="F33" i="1"/>
  <c r="G9" i="1"/>
  <c r="G33" i="1" s="1"/>
  <c r="D33" i="1"/>
</calcChain>
</file>

<file path=xl/sharedStrings.xml><?xml version="1.0" encoding="utf-8"?>
<sst xmlns="http://schemas.openxmlformats.org/spreadsheetml/2006/main" count="39" uniqueCount="39">
  <si>
    <t>DOCHODY</t>
  </si>
  <si>
    <t>Lp.</t>
  </si>
  <si>
    <t>Obiekty</t>
  </si>
  <si>
    <t>Wykonanie 2021</t>
  </si>
  <si>
    <t>Wykonanie 2022</t>
  </si>
  <si>
    <t>Stadion Młodzieżowy ul. Tenisowa</t>
  </si>
  <si>
    <t>Młodzieżowe Centrum Sportu i Rekreacji ul. Narutowicza</t>
  </si>
  <si>
    <t>Obiekt Sportowo - Rekreacyjny ul. Potulicka</t>
  </si>
  <si>
    <t>ZOS "Tor Kolarski" al. Wojska Polskiego</t>
  </si>
  <si>
    <t>Miejskie Centrum Sportowo - Rekreacyjne ul. Modra</t>
  </si>
  <si>
    <t>Kompleks Sportowo - Rekreacyjny ul. Nehringa</t>
  </si>
  <si>
    <t>Stadion ul. Bandurskiego</t>
  </si>
  <si>
    <t>Orlik ul. Paproci</t>
  </si>
  <si>
    <t>Boisko Świt Skolwin</t>
  </si>
  <si>
    <t>Zespół Boisk ul. Kresowa (Bandurskiego)</t>
  </si>
  <si>
    <t>Boisko Jeziorak - Załom</t>
  </si>
  <si>
    <t>Boisko Vielgovia Wielgowo ul. Wesoła</t>
  </si>
  <si>
    <t>Boisko Jezierzyce ul. Topolowa</t>
  </si>
  <si>
    <t>Boisko ul. Pomarańczowa</t>
  </si>
  <si>
    <t>Basen Olimpijski ul. Wąska</t>
  </si>
  <si>
    <t>SDS ul. Unisławy (hotel)</t>
  </si>
  <si>
    <t>SDS ul. Wąska - rehabilitacja</t>
  </si>
  <si>
    <t>Hala Miejska przy ul. Twardowskiego</t>
  </si>
  <si>
    <t>Stadion Lekkoatletyczny ul. Litewska</t>
  </si>
  <si>
    <t>Orlik ul. Krakowska</t>
  </si>
  <si>
    <t>Obiekt Sportowo-Rekreacyjny ul. Arkońska</t>
  </si>
  <si>
    <t>Boisko przy ul. Witkiewicza</t>
  </si>
  <si>
    <t>Hala Widowiskowo-Sportowa (szpital + MOSRiR)</t>
  </si>
  <si>
    <t>Hala Widowiskowo-Sportowa - ZSTiW</t>
  </si>
  <si>
    <t>Razem MOSRiR</t>
  </si>
  <si>
    <t>Wykonanie 2020</t>
  </si>
  <si>
    <t>Wykonanie 2023</t>
  </si>
  <si>
    <t>Wykonanie 2024 (31.07.2024)</t>
  </si>
  <si>
    <t>Zestawienie dochodów obiektów</t>
  </si>
  <si>
    <t>Pozostałe  dochody (VAT-administracja)</t>
  </si>
  <si>
    <t>Obiekt ul. Pawia (Orla)</t>
  </si>
  <si>
    <t>Korty z Halą Tenisową al. Wojska Polskiego 127</t>
  </si>
  <si>
    <t>PRZYCHODY OBIEKTÓW ZARZĄDZANYCH PRZEZ  MOSRiR W LATACH 2020 - 2024</t>
  </si>
  <si>
    <t>Stadion Miejski im. F. Krygiera/POGOŃ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</si>
</sst>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#,##0_ ;\-#,##0\ "/>
    <numFmt numFmtId="166" formatCode="0.0000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i/>
      <sz val="8"/>
      <color theme="1"/>
      <name val="Czcionka tekstu podstawowego"/>
      <charset val="238"/>
    </font>
    <font>
      <b/>
      <i/>
      <sz val="8"/>
      <color theme="1"/>
      <name val="Czcionka tekstu podstawowego"/>
      <charset val="238"/>
    </font>
    <font>
      <b/>
      <i/>
      <sz val="12"/>
      <name val="Calibri"/>
      <family val="2"/>
      <charset val="238"/>
      <scheme val="minor"/>
    </font>
    <font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3" fontId="5" fillId="0" borderId="0" xfId="0" applyNumberFormat="1" applyFont="1" applyAlignment="1">
      <alignment horizontal="right" vertical="center"/>
    </xf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0" fontId="2" fillId="0" borderId="0" xfId="0" applyFont="1" applyAlignment="1">
      <alignment vertical="center"/>
    </xf>
    <xf numFmtId="0" fontId="0" fillId="0" borderId="13" xfId="0" applyBorder="1"/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6" xfId="1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5" fontId="7" fillId="0" borderId="10" xfId="1" applyNumberFormat="1" applyFont="1" applyFill="1" applyBorder="1" applyAlignment="1">
      <alignment vertical="center"/>
    </xf>
    <xf numFmtId="165" fontId="7" fillId="5" borderId="10" xfId="1" applyNumberFormat="1" applyFont="1" applyFill="1" applyBorder="1" applyAlignment="1">
      <alignment vertical="center"/>
    </xf>
    <xf numFmtId="165" fontId="7" fillId="4" borderId="10" xfId="1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2" fillId="3" borderId="17" xfId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zoomScaleNormal="100" workbookViewId="0">
      <selection activeCell="F24" sqref="F24"/>
    </sheetView>
  </sheetViews>
  <sheetFormatPr defaultRowHeight="14.25"/>
  <cols>
    <col min="1" max="1" width="5.25" customWidth="1"/>
    <col min="2" max="2" width="48" bestFit="1" customWidth="1"/>
    <col min="3" max="5" width="14.625" customWidth="1"/>
    <col min="6" max="6" width="14.125" customWidth="1"/>
    <col min="7" max="11" width="14.625" customWidth="1"/>
    <col min="12" max="12" width="9.875" customWidth="1"/>
    <col min="13" max="13" width="10.5" bestFit="1" customWidth="1"/>
    <col min="14" max="18" width="14.625" customWidth="1"/>
  </cols>
  <sheetData>
    <row r="1" spans="1:18" ht="15" customHeight="1">
      <c r="A1" s="31" t="s">
        <v>37</v>
      </c>
      <c r="B1" s="31"/>
      <c r="C1" s="31"/>
      <c r="D1" s="31"/>
      <c r="E1" s="31"/>
      <c r="F1" s="31"/>
      <c r="G1" s="31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" customHeight="1">
      <c r="A2" s="32" t="s">
        <v>33</v>
      </c>
      <c r="B2" s="33"/>
      <c r="C2" s="34" t="s">
        <v>0</v>
      </c>
      <c r="D2" s="35"/>
      <c r="E2" s="35"/>
      <c r="F2" s="35"/>
      <c r="G2" s="36"/>
      <c r="H2" s="8"/>
    </row>
    <row r="3" spans="1:18" ht="15" customHeight="1">
      <c r="A3" s="37" t="s">
        <v>1</v>
      </c>
      <c r="B3" s="39" t="s">
        <v>2</v>
      </c>
      <c r="C3" s="29" t="s">
        <v>30</v>
      </c>
      <c r="D3" s="29" t="s">
        <v>3</v>
      </c>
      <c r="E3" s="29" t="s">
        <v>4</v>
      </c>
      <c r="F3" s="29" t="s">
        <v>31</v>
      </c>
      <c r="G3" s="29" t="s">
        <v>32</v>
      </c>
      <c r="I3" s="2"/>
      <c r="J3" s="2"/>
    </row>
    <row r="4" spans="1:18" ht="9" customHeight="1">
      <c r="A4" s="38"/>
      <c r="B4" s="40"/>
      <c r="C4" s="30"/>
      <c r="D4" s="30"/>
      <c r="E4" s="30"/>
      <c r="F4" s="30"/>
      <c r="G4" s="30"/>
      <c r="I4" s="3"/>
      <c r="J4" s="3"/>
      <c r="O4" s="4"/>
      <c r="P4" s="5"/>
      <c r="Q4" s="5"/>
    </row>
    <row r="5" spans="1:18" s="9" customFormat="1" ht="15" customHeight="1">
      <c r="A5" s="15">
        <v>1</v>
      </c>
      <c r="B5" s="16" t="s">
        <v>5</v>
      </c>
      <c r="C5" s="17">
        <f>65322.84+18312.1</f>
        <v>83634.94</v>
      </c>
      <c r="D5" s="17">
        <f>92065+19822</f>
        <v>111887</v>
      </c>
      <c r="E5" s="17">
        <f>81972.33+21810.12</f>
        <v>103782.45</v>
      </c>
      <c r="F5" s="17">
        <f>176284.98+32591.24</f>
        <v>208876.22</v>
      </c>
      <c r="G5" s="17">
        <f>115667.37+20064.21</f>
        <v>135731.57999999999</v>
      </c>
      <c r="K5" s="10"/>
      <c r="P5" s="11"/>
      <c r="Q5" s="11"/>
    </row>
    <row r="6" spans="1:18" s="9" customFormat="1" ht="15" customHeight="1">
      <c r="A6" s="18">
        <v>2</v>
      </c>
      <c r="B6" s="19" t="s">
        <v>6</v>
      </c>
      <c r="C6" s="20">
        <f>45994.6+10694.55</f>
        <v>56689.149999999994</v>
      </c>
      <c r="D6" s="20">
        <f>45911+11227</f>
        <v>57138</v>
      </c>
      <c r="E6" s="20">
        <f>49935.33+12597.02</f>
        <v>62532.350000000006</v>
      </c>
      <c r="F6" s="20">
        <f>82378.48+16751.28</f>
        <v>99129.76</v>
      </c>
      <c r="G6" s="20">
        <f>56552.49+11695.01</f>
        <v>68247.5</v>
      </c>
      <c r="K6" s="11"/>
      <c r="O6" s="12"/>
      <c r="P6" s="13"/>
      <c r="Q6" s="13"/>
    </row>
    <row r="7" spans="1:18" s="9" customFormat="1" ht="15" customHeight="1">
      <c r="A7" s="18">
        <v>3</v>
      </c>
      <c r="B7" s="19" t="s">
        <v>7</v>
      </c>
      <c r="C7" s="20">
        <f>0</f>
        <v>0</v>
      </c>
      <c r="D7" s="20">
        <f>0</f>
        <v>0</v>
      </c>
      <c r="E7" s="20">
        <f>D7</f>
        <v>0</v>
      </c>
      <c r="F7" s="20">
        <f>E7</f>
        <v>0</v>
      </c>
      <c r="G7" s="20">
        <f>F7</f>
        <v>0</v>
      </c>
      <c r="K7" s="14"/>
      <c r="P7" s="11"/>
      <c r="Q7" s="11"/>
    </row>
    <row r="8" spans="1:18" s="9" customFormat="1" ht="15" customHeight="1">
      <c r="A8" s="18">
        <v>4</v>
      </c>
      <c r="B8" s="19" t="s">
        <v>8</v>
      </c>
      <c r="C8" s="20">
        <f>213530.19+72747.59</f>
        <v>286277.78000000003</v>
      </c>
      <c r="D8" s="20">
        <f>321058+77940</f>
        <v>398998</v>
      </c>
      <c r="E8" s="20">
        <f>277679.81+88683.32</f>
        <v>366363.13</v>
      </c>
      <c r="F8" s="20">
        <f>299445.5+126377.13</f>
        <v>425822.63</v>
      </c>
      <c r="G8" s="20">
        <f>184078.09+88388.19</f>
        <v>272466.28000000003</v>
      </c>
      <c r="O8" s="12"/>
      <c r="P8" s="13"/>
      <c r="Q8" s="13"/>
    </row>
    <row r="9" spans="1:18" s="9" customFormat="1" ht="15" customHeight="1">
      <c r="A9" s="18">
        <v>5</v>
      </c>
      <c r="B9" s="19" t="s">
        <v>9</v>
      </c>
      <c r="C9" s="20">
        <v>0</v>
      </c>
      <c r="D9" s="20">
        <v>0</v>
      </c>
      <c r="E9" s="20">
        <f>D9</f>
        <v>0</v>
      </c>
      <c r="F9" s="20">
        <f>E9</f>
        <v>0</v>
      </c>
      <c r="G9" s="20">
        <f>F9</f>
        <v>0</v>
      </c>
    </row>
    <row r="10" spans="1:18" s="9" customFormat="1" ht="15" customHeight="1">
      <c r="A10" s="18">
        <v>6</v>
      </c>
      <c r="B10" s="19" t="s">
        <v>10</v>
      </c>
      <c r="C10" s="20">
        <f>15855.44+761.32</f>
        <v>16616.760000000002</v>
      </c>
      <c r="D10" s="20">
        <f>20237+617+922</f>
        <v>21776</v>
      </c>
      <c r="E10" s="20">
        <f>18515.59+4531.07</f>
        <v>23046.66</v>
      </c>
      <c r="F10" s="20">
        <f>41939.18+616.41</f>
        <v>42555.590000000004</v>
      </c>
      <c r="G10" s="20">
        <f>43906+2708.4</f>
        <v>46614.400000000001</v>
      </c>
    </row>
    <row r="11" spans="1:18" s="9" customFormat="1" ht="15" customHeight="1">
      <c r="A11" s="18">
        <v>7</v>
      </c>
      <c r="B11" s="19" t="s">
        <v>11</v>
      </c>
      <c r="C11" s="20">
        <f>54734.83+10055.49</f>
        <v>64790.32</v>
      </c>
      <c r="D11" s="20">
        <f>50943+19648</f>
        <v>70591</v>
      </c>
      <c r="E11" s="20">
        <f>49104.61+4314.03</f>
        <v>53418.64</v>
      </c>
      <c r="F11" s="20">
        <f>65606.48+4020.91</f>
        <v>69627.39</v>
      </c>
      <c r="G11" s="20">
        <f>30493.01+800</f>
        <v>31293.01</v>
      </c>
    </row>
    <row r="12" spans="1:18" s="9" customFormat="1" ht="15" customHeight="1">
      <c r="A12" s="18">
        <v>8</v>
      </c>
      <c r="B12" s="19" t="s">
        <v>12</v>
      </c>
      <c r="C12" s="20">
        <f>1835.77</f>
        <v>1835.77</v>
      </c>
      <c r="D12" s="20">
        <f>1697</f>
        <v>1697</v>
      </c>
      <c r="E12" s="20">
        <f>2432.67</f>
        <v>2432.67</v>
      </c>
      <c r="F12" s="20">
        <f>9114</f>
        <v>9114</v>
      </c>
      <c r="G12" s="20">
        <f>9077.8</f>
        <v>9077.7999999999993</v>
      </c>
    </row>
    <row r="13" spans="1:18" s="9" customFormat="1" ht="15" customHeight="1">
      <c r="A13" s="18">
        <v>9</v>
      </c>
      <c r="B13" s="19" t="s">
        <v>13</v>
      </c>
      <c r="C13" s="20">
        <f>7001.15+2179.95</f>
        <v>9181.0999999999985</v>
      </c>
      <c r="D13" s="20">
        <f>10089+11521</f>
        <v>21610</v>
      </c>
      <c r="E13" s="20">
        <f>12663.4+2022.81</f>
        <v>14686.21</v>
      </c>
      <c r="F13" s="20">
        <f>29834.92+2410.96</f>
        <v>32245.879999999997</v>
      </c>
      <c r="G13" s="20">
        <f>20791.7+1433.88</f>
        <v>22225.58</v>
      </c>
    </row>
    <row r="14" spans="1:18" s="9" customFormat="1" ht="15" customHeight="1">
      <c r="A14" s="18">
        <v>10</v>
      </c>
      <c r="B14" s="19" t="s">
        <v>14</v>
      </c>
      <c r="C14" s="20">
        <f>0</f>
        <v>0</v>
      </c>
      <c r="D14" s="20">
        <f>40580+2707</f>
        <v>43287</v>
      </c>
      <c r="E14" s="20">
        <f>114246.14+6327.79</f>
        <v>120573.93</v>
      </c>
      <c r="F14" s="20">
        <f>214809.48+8627.23</f>
        <v>223436.71000000002</v>
      </c>
      <c r="G14" s="20">
        <f>191302.28+8146.61</f>
        <v>199448.88999999998</v>
      </c>
    </row>
    <row r="15" spans="1:18" s="9" customFormat="1" ht="15" customHeight="1">
      <c r="A15" s="18">
        <v>11</v>
      </c>
      <c r="B15" s="19" t="s">
        <v>15</v>
      </c>
      <c r="C15" s="20">
        <f>4310.25+209.21</f>
        <v>4519.46</v>
      </c>
      <c r="D15" s="20">
        <f>3523+391</f>
        <v>3914</v>
      </c>
      <c r="E15" s="20">
        <f>4588.36+409.28</f>
        <v>4997.6399999999994</v>
      </c>
      <c r="F15" s="20">
        <f>5965.76+526.56</f>
        <v>6492.32</v>
      </c>
      <c r="G15" s="20">
        <f>2704.24+248.33</f>
        <v>2952.5699999999997</v>
      </c>
    </row>
    <row r="16" spans="1:18" s="9" customFormat="1" ht="15" customHeight="1">
      <c r="A16" s="18">
        <v>12</v>
      </c>
      <c r="B16" s="19" t="s">
        <v>16</v>
      </c>
      <c r="C16" s="20">
        <f>6023.09</f>
        <v>6023.09</v>
      </c>
      <c r="D16" s="20">
        <f>5852</f>
        <v>5852</v>
      </c>
      <c r="E16" s="20">
        <f>4467.5</f>
        <v>4467.5</v>
      </c>
      <c r="F16" s="20">
        <f>6810</f>
        <v>6810</v>
      </c>
      <c r="G16" s="20">
        <f>2270</f>
        <v>2270</v>
      </c>
    </row>
    <row r="17" spans="1:7" s="9" customFormat="1" ht="15" customHeight="1">
      <c r="A17" s="18">
        <v>13</v>
      </c>
      <c r="B17" s="19" t="s">
        <v>17</v>
      </c>
      <c r="C17" s="20">
        <f>5078.75</f>
        <v>5078.75</v>
      </c>
      <c r="D17" s="20">
        <f>2397</f>
        <v>2397</v>
      </c>
      <c r="E17" s="20">
        <f>3876.25</f>
        <v>3876.25</v>
      </c>
      <c r="F17" s="20">
        <f>6532</f>
        <v>6532</v>
      </c>
      <c r="G17" s="20">
        <f>4102</f>
        <v>4102</v>
      </c>
    </row>
    <row r="18" spans="1:7" s="9" customFormat="1" ht="15" customHeight="1">
      <c r="A18" s="18">
        <v>14</v>
      </c>
      <c r="B18" s="19" t="s">
        <v>18</v>
      </c>
      <c r="C18" s="20">
        <f>19886.52</f>
        <v>19886.52</v>
      </c>
      <c r="D18" s="20">
        <f>25550</f>
        <v>25550</v>
      </c>
      <c r="E18" s="20">
        <f>28048</f>
        <v>28048</v>
      </c>
      <c r="F18" s="20">
        <f>88183.48+224.73</f>
        <v>88408.209999999992</v>
      </c>
      <c r="G18" s="20">
        <f>50554.83</f>
        <v>50554.83</v>
      </c>
    </row>
    <row r="19" spans="1:7" s="9" customFormat="1" ht="15" customHeight="1">
      <c r="A19" s="18">
        <v>15</v>
      </c>
      <c r="B19" s="19" t="s">
        <v>35</v>
      </c>
      <c r="C19" s="20">
        <f>6121.54</f>
        <v>6121.54</v>
      </c>
      <c r="D19" s="20">
        <f>5927+2567</f>
        <v>8494</v>
      </c>
      <c r="E19" s="20">
        <f>7416.25+2768.34</f>
        <v>10184.59</v>
      </c>
      <c r="F19" s="20">
        <f>18520+3550.69</f>
        <v>22070.69</v>
      </c>
      <c r="G19" s="20">
        <f>11875+1817.09</f>
        <v>13692.09</v>
      </c>
    </row>
    <row r="20" spans="1:7" s="9" customFormat="1" ht="15" customHeight="1">
      <c r="A20" s="18">
        <v>16</v>
      </c>
      <c r="B20" s="19" t="s">
        <v>19</v>
      </c>
      <c r="C20" s="20">
        <f>1262537.3+917678.94</f>
        <v>2180216.2400000002</v>
      </c>
      <c r="D20" s="20">
        <f>1186251+765666</f>
        <v>1951917</v>
      </c>
      <c r="E20" s="20">
        <f>997611.78+729752.91</f>
        <v>1727364.69</v>
      </c>
      <c r="F20" s="20">
        <f>935107.81+1254937.7</f>
        <v>2190045.5099999998</v>
      </c>
      <c r="G20" s="20">
        <f>516297.24+751383.65</f>
        <v>1267680.8900000001</v>
      </c>
    </row>
    <row r="21" spans="1:7" s="9" customFormat="1" ht="15" customHeight="1">
      <c r="A21" s="18">
        <v>17</v>
      </c>
      <c r="B21" s="19" t="s">
        <v>20</v>
      </c>
      <c r="C21" s="20">
        <f>48053.17+350890.34</f>
        <v>398943.51</v>
      </c>
      <c r="D21" s="20">
        <f>49346+322725</f>
        <v>372071</v>
      </c>
      <c r="E21" s="20">
        <f>30967.5+446728.67</f>
        <v>477696.17</v>
      </c>
      <c r="F21" s="20">
        <f>24319.86+572751.38</f>
        <v>597071.24</v>
      </c>
      <c r="G21" s="20">
        <f>9329.26+338441.6</f>
        <v>347770.86</v>
      </c>
    </row>
    <row r="22" spans="1:7" s="9" customFormat="1" ht="15" customHeight="1">
      <c r="A22" s="18">
        <v>18</v>
      </c>
      <c r="B22" s="19" t="s">
        <v>21</v>
      </c>
      <c r="C22" s="20">
        <f>0+172728</f>
        <v>172728</v>
      </c>
      <c r="D22" s="20">
        <f>174832</f>
        <v>174832</v>
      </c>
      <c r="E22" s="20">
        <f>85384</f>
        <v>85384</v>
      </c>
      <c r="F22" s="21">
        <f>0</f>
        <v>0</v>
      </c>
      <c r="G22" s="21">
        <v>0</v>
      </c>
    </row>
    <row r="23" spans="1:7" s="9" customFormat="1" ht="15" customHeight="1">
      <c r="A23" s="18">
        <v>19</v>
      </c>
      <c r="B23" s="19" t="s">
        <v>22</v>
      </c>
      <c r="C23" s="20">
        <f>48346.63+49536.27</f>
        <v>97882.9</v>
      </c>
      <c r="D23" s="20">
        <f>54205+64297</f>
        <v>118502</v>
      </c>
      <c r="E23" s="20">
        <f>72945.17+49467.72</f>
        <v>122412.89</v>
      </c>
      <c r="F23" s="20">
        <f>139448.56+65612.32</f>
        <v>205060.88</v>
      </c>
      <c r="G23" s="20">
        <f>90069.72+63200.34</f>
        <v>153270.06</v>
      </c>
    </row>
    <row r="24" spans="1:7" s="9" customFormat="1" ht="15" customHeight="1">
      <c r="A24" s="18">
        <v>20</v>
      </c>
      <c r="B24" s="19" t="s">
        <v>38</v>
      </c>
      <c r="C24" s="20">
        <f>1100+747072.83</f>
        <v>748172.83</v>
      </c>
      <c r="D24" s="20">
        <f>45800+413279</f>
        <v>459079</v>
      </c>
      <c r="E24" s="20">
        <f>50889.8+7230.5</f>
        <v>58120.3</v>
      </c>
      <c r="F24" s="20">
        <v>172906</v>
      </c>
      <c r="G24" s="20">
        <v>375857</v>
      </c>
    </row>
    <row r="25" spans="1:7" s="9" customFormat="1" ht="15" customHeight="1">
      <c r="A25" s="18">
        <v>21</v>
      </c>
      <c r="B25" s="19" t="s">
        <v>23</v>
      </c>
      <c r="C25" s="20">
        <f>95982.63+38175</f>
        <v>134157.63</v>
      </c>
      <c r="D25" s="20">
        <f>115731+39305</f>
        <v>155036</v>
      </c>
      <c r="E25" s="20">
        <f>154331.86+37559.7</f>
        <v>191891.56</v>
      </c>
      <c r="F25" s="20">
        <f>338384.39+41025.01</f>
        <v>379409.4</v>
      </c>
      <c r="G25" s="20">
        <f>205783.39+32452.82</f>
        <v>238236.21000000002</v>
      </c>
    </row>
    <row r="26" spans="1:7" s="9" customFormat="1" ht="15" customHeight="1">
      <c r="A26" s="18">
        <v>22</v>
      </c>
      <c r="B26" s="19" t="s">
        <v>36</v>
      </c>
      <c r="C26" s="20">
        <f>134086.9+138205.68</f>
        <v>272292.57999999996</v>
      </c>
      <c r="D26" s="20">
        <f>141238+141211</f>
        <v>282449</v>
      </c>
      <c r="E26" s="20">
        <f>46931.47+224170.31</f>
        <v>271101.78000000003</v>
      </c>
      <c r="F26" s="20">
        <f>281173.43+317508.52</f>
        <v>598681.94999999995</v>
      </c>
      <c r="G26" s="20">
        <f>138086.03+255030.71</f>
        <v>393116.74</v>
      </c>
    </row>
    <row r="27" spans="1:7" s="9" customFormat="1" ht="15" customHeight="1">
      <c r="A27" s="18">
        <v>23</v>
      </c>
      <c r="B27" s="19" t="s">
        <v>24</v>
      </c>
      <c r="C27" s="20">
        <v>0</v>
      </c>
      <c r="D27" s="20">
        <v>0</v>
      </c>
      <c r="E27" s="20">
        <f>D27</f>
        <v>0</v>
      </c>
      <c r="F27" s="20">
        <f>E27</f>
        <v>0</v>
      </c>
      <c r="G27" s="20">
        <f>F27</f>
        <v>0</v>
      </c>
    </row>
    <row r="28" spans="1:7" s="9" customFormat="1" ht="15" customHeight="1">
      <c r="A28" s="18">
        <v>24</v>
      </c>
      <c r="B28" s="19" t="s">
        <v>25</v>
      </c>
      <c r="C28" s="20">
        <v>0</v>
      </c>
      <c r="D28" s="20">
        <v>0</v>
      </c>
      <c r="E28" s="20">
        <f>13642.5+3020.17</f>
        <v>16662.669999999998</v>
      </c>
      <c r="F28" s="20">
        <f>106899.76</f>
        <v>106899.76</v>
      </c>
      <c r="G28" s="20">
        <f>79313.23+165.11</f>
        <v>79478.34</v>
      </c>
    </row>
    <row r="29" spans="1:7" s="9" customFormat="1" ht="15" customHeight="1">
      <c r="A29" s="18">
        <v>25</v>
      </c>
      <c r="B29" s="19" t="s">
        <v>26</v>
      </c>
      <c r="C29" s="20">
        <f>30087.28</f>
        <v>30087.279999999999</v>
      </c>
      <c r="D29" s="20">
        <f>32452</f>
        <v>32452</v>
      </c>
      <c r="E29" s="20">
        <f>35805.93</f>
        <v>35805.93</v>
      </c>
      <c r="F29" s="20">
        <f>93982.18+31.71</f>
        <v>94013.89</v>
      </c>
      <c r="G29" s="20">
        <f>54579.48+64.36</f>
        <v>54643.840000000004</v>
      </c>
    </row>
    <row r="30" spans="1:7" s="9" customFormat="1" ht="15" customHeight="1">
      <c r="A30" s="18">
        <v>26</v>
      </c>
      <c r="B30" s="19" t="s">
        <v>27</v>
      </c>
      <c r="C30" s="20">
        <f>350550+915520+10419.69+1007310.07+2215.05</f>
        <v>2286014.8099999996</v>
      </c>
      <c r="D30" s="20">
        <f>2746560+568265+1256791+110400+107338</f>
        <v>4789354</v>
      </c>
      <c r="E30" s="22">
        <v>0</v>
      </c>
      <c r="F30" s="22">
        <v>0</v>
      </c>
      <c r="G30" s="22">
        <v>0</v>
      </c>
    </row>
    <row r="31" spans="1:7" s="9" customFormat="1" ht="15" customHeight="1">
      <c r="A31" s="18">
        <v>27</v>
      </c>
      <c r="B31" s="19" t="s">
        <v>28</v>
      </c>
      <c r="C31" s="20">
        <v>0</v>
      </c>
      <c r="D31" s="20">
        <v>0</v>
      </c>
      <c r="E31" s="20">
        <f>2000+2177870.36+192012.41</f>
        <v>2371882.77</v>
      </c>
      <c r="F31" s="20">
        <f>3253302.56+306097.57</f>
        <v>3559400.13</v>
      </c>
      <c r="G31" s="20">
        <f>1885106.86+208088.63</f>
        <v>2093195.4900000002</v>
      </c>
    </row>
    <row r="32" spans="1:7" s="9" customFormat="1" ht="15" customHeight="1">
      <c r="A32" s="23"/>
      <c r="B32" s="24" t="s">
        <v>34</v>
      </c>
      <c r="C32" s="25">
        <v>1389414.74</v>
      </c>
      <c r="D32" s="25">
        <f>8+10+4635484</f>
        <v>4635502</v>
      </c>
      <c r="E32" s="25">
        <f>3150441.4</f>
        <v>3150441.4</v>
      </c>
      <c r="F32" s="25">
        <f>3365729.74</f>
        <v>3365729.74</v>
      </c>
      <c r="G32" s="25">
        <f>1362779.03</f>
        <v>1362779.03</v>
      </c>
    </row>
    <row r="33" spans="1:18" s="9" customFormat="1" ht="15" customHeight="1">
      <c r="A33" s="26"/>
      <c r="B33" s="27" t="s">
        <v>29</v>
      </c>
      <c r="C33" s="28">
        <f>SUM(C5:C32)</f>
        <v>8270565.7000000011</v>
      </c>
      <c r="D33" s="28">
        <f>SUM(D5:D32)</f>
        <v>13744385</v>
      </c>
      <c r="E33" s="28">
        <f>SUM(E5:E32)</f>
        <v>9307174.1799999997</v>
      </c>
      <c r="F33" s="28">
        <f>SUM(F5:F32)</f>
        <v>12510339.9</v>
      </c>
      <c r="G33" s="28">
        <f>SUM(G5:G32)</f>
        <v>7224704.9900000002</v>
      </c>
    </row>
    <row r="34" spans="1:18">
      <c r="G34" s="4"/>
    </row>
    <row r="36" spans="1:18">
      <c r="K36" s="1"/>
    </row>
    <row r="38" spans="1:18">
      <c r="R38" s="2"/>
    </row>
    <row r="39" spans="1:18">
      <c r="R39" s="5"/>
    </row>
    <row r="40" spans="1:18">
      <c r="R40" s="2"/>
    </row>
    <row r="41" spans="1:18">
      <c r="R41" s="5"/>
    </row>
    <row r="42" spans="1:18">
      <c r="R42" s="2"/>
    </row>
    <row r="43" spans="1:18">
      <c r="R43" s="6"/>
    </row>
  </sheetData>
  <mergeCells count="10">
    <mergeCell ref="C3:C4"/>
    <mergeCell ref="A1:G1"/>
    <mergeCell ref="G3:G4"/>
    <mergeCell ref="A2:B2"/>
    <mergeCell ref="C2:G2"/>
    <mergeCell ref="A3:A4"/>
    <mergeCell ref="B3:B4"/>
    <mergeCell ref="D3:D4"/>
    <mergeCell ref="E3:E4"/>
    <mergeCell ref="F3:F4"/>
  </mergeCells>
  <printOptions horizontalCentered="1" verticalCentered="1"/>
  <pageMargins left="0.81" right="0.15748031496062992" top="0.74803149606299213" bottom="0.74803149606299213" header="0.31496062992125984" footer="0.31496062992125984"/>
  <pageSetup paperSize="9" fitToHeight="0" orientation="landscape" r:id="rId1"/>
  <headerFooter>
    <oddHeader>&amp;R&amp;D</oddHeader>
    <oddFooter>&amp;L&amp;"-,Standardowy"&amp;8Opracował: MOSRiR [AM}</oddFooter>
  </headerFooter>
  <colBreaks count="1" manualBreakCount="1">
    <brk id="23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Obiekty_MOSRiR</vt:lpstr>
      <vt:lpstr>Obiekty_MOSRiR!Obszar_wydruku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Miller</dc:creator>
  <cp:lastModifiedBy>Posłuszna Aleksandra</cp:lastModifiedBy>
  <cp:lastPrinted>2024-08-26T06:30:49Z</cp:lastPrinted>
  <dcterms:created xsi:type="dcterms:W3CDTF">2024-08-22T07:42:39Z</dcterms:created>
  <dcterms:modified xsi:type="dcterms:W3CDTF">2024-09-03T06:00:19Z</dcterms:modified>
</cp:coreProperties>
</file>