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1610" yWindow="-15" windowWidth="11475" windowHeight="9675"/>
  </bookViews>
  <sheets>
    <sheet name="bez Kumaków" sheetId="10" r:id="rId1"/>
    <sheet name="podział 30.04.2020 z wył. Kumak" sheetId="9" r:id="rId2"/>
    <sheet name="podział 28.04.2020 do 30tys" sheetId="8" r:id="rId3"/>
    <sheet name="podział 23.04.2020 przetargi" sheetId="7" r:id="rId4"/>
    <sheet name="zestawienie wniosków" sheetId="4" r:id="rId5"/>
    <sheet name="Arkusz1" sheetId="1" r:id="rId6"/>
    <sheet name="Arkusz1 (2)" sheetId="2" r:id="rId7"/>
    <sheet name="Arkusz1 (3)" sheetId="3" r:id="rId8"/>
    <sheet name="Arkusz2" sheetId="5" r:id="rId9"/>
    <sheet name="Arkusz1 (4)" sheetId="6" r:id="rId10"/>
  </sheets>
  <definedNames>
    <definedName name="_xlnm.Print_Area" localSheetId="5">Arkusz1!$A$1:$AB$21</definedName>
    <definedName name="_xlnm.Print_Area" localSheetId="8">Arkusz2!$A$1:$R$15</definedName>
    <definedName name="_xlnm.Print_Area" localSheetId="3">'podział 23.04.2020 przetargi'!$A$1:$P$24</definedName>
    <definedName name="_xlnm.Print_Area" localSheetId="2">'podział 28.04.2020 do 30tys'!$A$1:$P$24</definedName>
    <definedName name="_xlnm.Print_Area" localSheetId="1">'podział 30.04.2020 z wył. Kumak'!$A$1:$P$24</definedName>
  </definedNames>
  <calcPr calcId="125725"/>
</workbook>
</file>

<file path=xl/calcChain.xml><?xml version="1.0" encoding="utf-8"?>
<calcChain xmlns="http://schemas.openxmlformats.org/spreadsheetml/2006/main">
  <c r="O7" i="10"/>
  <c r="M7"/>
  <c r="B2"/>
  <c r="O6" i="7" l="1"/>
  <c r="N7" i="2"/>
  <c r="N6"/>
  <c r="O19" i="9" l="1"/>
  <c r="O18"/>
  <c r="O17"/>
  <c r="O16"/>
  <c r="O15"/>
  <c r="M11"/>
  <c r="O11" s="1"/>
  <c r="J10"/>
  <c r="M10" s="1"/>
  <c r="O10" s="1"/>
  <c r="M9"/>
  <c r="O9" s="1"/>
  <c r="O8"/>
  <c r="L7"/>
  <c r="J7"/>
  <c r="M7" s="1"/>
  <c r="O7" s="1"/>
  <c r="M6"/>
  <c r="O6" s="1"/>
  <c r="B2"/>
  <c r="O19" i="8"/>
  <c r="O18"/>
  <c r="O17"/>
  <c r="O16"/>
  <c r="O15"/>
  <c r="M11"/>
  <c r="O11" s="1"/>
  <c r="J10"/>
  <c r="M10" s="1"/>
  <c r="O10" s="1"/>
  <c r="M9"/>
  <c r="O9" s="1"/>
  <c r="O8"/>
  <c r="L7"/>
  <c r="J7"/>
  <c r="M7" s="1"/>
  <c r="O7" s="1"/>
  <c r="M6"/>
  <c r="O6" s="1"/>
  <c r="B2"/>
  <c r="O12" i="9" l="1"/>
  <c r="U12" s="1"/>
  <c r="M12"/>
  <c r="O12" i="8"/>
  <c r="U12" s="1"/>
  <c r="M12"/>
  <c r="O17" i="7"/>
  <c r="O18"/>
  <c r="O8"/>
  <c r="O19"/>
  <c r="O16"/>
  <c r="O15"/>
  <c r="M11"/>
  <c r="O11" s="1"/>
  <c r="J10"/>
  <c r="M10" s="1"/>
  <c r="O10" s="1"/>
  <c r="M9"/>
  <c r="O9" s="1"/>
  <c r="L7"/>
  <c r="J7"/>
  <c r="M6"/>
  <c r="B2"/>
  <c r="Y8" i="1"/>
  <c r="N10"/>
  <c r="Q10" s="1"/>
  <c r="X10"/>
  <c r="Q9"/>
  <c r="Y9" s="1"/>
  <c r="Q11"/>
  <c r="Q7"/>
  <c r="P7"/>
  <c r="N7"/>
  <c r="Q6"/>
  <c r="T6" s="1"/>
  <c r="L7" i="6"/>
  <c r="J7"/>
  <c r="B2"/>
  <c r="Z1" i="1"/>
  <c r="B2" i="3"/>
  <c r="B2" i="2"/>
  <c r="B2" i="1"/>
  <c r="N9" i="5"/>
  <c r="O10" s="1"/>
  <c r="Q10" s="1"/>
  <c r="P10" s="1"/>
  <c r="M6"/>
  <c r="K6"/>
  <c r="F12" i="4"/>
  <c r="P8" i="3"/>
  <c r="P7"/>
  <c r="P6"/>
  <c r="M13"/>
  <c r="M16" s="1"/>
  <c r="L8"/>
  <c r="J8"/>
  <c r="M13" i="2"/>
  <c r="L8"/>
  <c r="J8"/>
  <c r="R8" i="1" l="1"/>
  <c r="R10"/>
  <c r="R7"/>
  <c r="R11"/>
  <c r="M7" i="7"/>
  <c r="O7" s="1"/>
  <c r="Q12" i="1"/>
  <c r="W6" s="1"/>
  <c r="O11" i="5"/>
  <c r="Q11" s="1"/>
  <c r="P11" s="1"/>
  <c r="O8"/>
  <c r="Q8" s="1"/>
  <c r="P8" s="1"/>
  <c r="O5"/>
  <c r="Q5" s="1"/>
  <c r="P5" s="1"/>
  <c r="O7"/>
  <c r="Q7" s="1"/>
  <c r="P7" s="1"/>
  <c r="Y7" i="1"/>
  <c r="Y11"/>
  <c r="N12" i="3"/>
  <c r="N10"/>
  <c r="N13"/>
  <c r="N14"/>
  <c r="N11"/>
  <c r="N7"/>
  <c r="N9"/>
  <c r="N6"/>
  <c r="N8"/>
  <c r="N14" i="2"/>
  <c r="P14" s="1"/>
  <c r="O14" s="1"/>
  <c r="O14" i="5"/>
  <c r="Q14" s="1"/>
  <c r="P14" s="1"/>
  <c r="O6"/>
  <c r="Q6" s="1"/>
  <c r="P6" s="1"/>
  <c r="O12"/>
  <c r="Q12" s="1"/>
  <c r="P12" s="1"/>
  <c r="O9"/>
  <c r="Q9" s="1"/>
  <c r="P9" s="1"/>
  <c r="O13"/>
  <c r="Q13" s="1"/>
  <c r="P13" s="1"/>
  <c r="O15"/>
  <c r="Q15" s="1"/>
  <c r="P15" s="1"/>
  <c r="F16" i="4"/>
  <c r="N15" i="3"/>
  <c r="N11" i="2"/>
  <c r="P11" s="1"/>
  <c r="O11" s="1"/>
  <c r="N9"/>
  <c r="P9" s="1"/>
  <c r="O9" s="1"/>
  <c r="P6"/>
  <c r="O6" s="1"/>
  <c r="N12"/>
  <c r="P12" s="1"/>
  <c r="O12" s="1"/>
  <c r="N15"/>
  <c r="P15" s="1"/>
  <c r="O15" s="1"/>
  <c r="N8"/>
  <c r="P8" s="1"/>
  <c r="O8" s="1"/>
  <c r="N10"/>
  <c r="P10" s="1"/>
  <c r="O10" s="1"/>
  <c r="N13"/>
  <c r="P13" s="1"/>
  <c r="O13" s="1"/>
  <c r="N16"/>
  <c r="P16" s="1"/>
  <c r="O16" s="1"/>
  <c r="M17"/>
  <c r="O12" i="7" l="1"/>
  <c r="U12" s="1"/>
  <c r="R9" i="1"/>
  <c r="R6"/>
  <c r="M12" i="7"/>
  <c r="P7" i="2"/>
  <c r="P17" s="1"/>
  <c r="O7" l="1"/>
  <c r="T15" i="1"/>
  <c r="R27" l="1"/>
  <c r="P9" i="3" l="1"/>
  <c r="O12" l="1"/>
  <c r="P11"/>
  <c r="P10"/>
  <c r="O13" l="1"/>
  <c r="P12"/>
  <c r="O14" l="1"/>
  <c r="O15" s="1"/>
  <c r="P13"/>
  <c r="P14" l="1"/>
  <c r="P15" l="1"/>
  <c r="P16" l="1"/>
  <c r="T19" i="1" l="1"/>
  <c r="T16" l="1"/>
  <c r="T7"/>
  <c r="T8"/>
  <c r="T17" l="1"/>
  <c r="T9"/>
  <c r="T10"/>
  <c r="T11"/>
  <c r="T18"/>
  <c r="T12" l="1"/>
  <c r="W9"/>
  <c r="W11"/>
  <c r="W7"/>
  <c r="W10"/>
  <c r="W8"/>
  <c r="R17" l="1"/>
  <c r="R18"/>
  <c r="Y6"/>
  <c r="Y10"/>
  <c r="Y12" l="1"/>
  <c r="Z12" s="1"/>
  <c r="AB6"/>
  <c r="Y14" l="1"/>
  <c r="W12" l="1"/>
</calcChain>
</file>

<file path=xl/sharedStrings.xml><?xml version="1.0" encoding="utf-8"?>
<sst xmlns="http://schemas.openxmlformats.org/spreadsheetml/2006/main" count="810" uniqueCount="127">
  <si>
    <t>Lp</t>
  </si>
  <si>
    <t xml:space="preserve">Nazwa inicjatora </t>
  </si>
  <si>
    <t>Nazwa zadania</t>
  </si>
  <si>
    <t>Wnioskowany zakres podlegający dofinansowaniu</t>
  </si>
  <si>
    <t>Data złożenia wniosku o dofinansowanie</t>
  </si>
  <si>
    <t>Pozwolenie na budowę/zgłoszenie TAK/NIE</t>
  </si>
  <si>
    <t>Kanalizacja sanitarna</t>
  </si>
  <si>
    <t>Kanalizacja deszczowa</t>
  </si>
  <si>
    <t>Sieć wodociągowa</t>
  </si>
  <si>
    <t>Inne</t>
  </si>
  <si>
    <t>Koszty projektu, inspektora nadzoru, zajęć pasa drogowego</t>
  </si>
  <si>
    <t>Całkowita wartość Inicjatywy</t>
  </si>
  <si>
    <t xml:space="preserve">Procent dofinansowania przez Miasto </t>
  </si>
  <si>
    <t>Kwota dofinansowania przez Miasto</t>
  </si>
  <si>
    <t>UWAGI</t>
  </si>
  <si>
    <t>Wnioski do realizacji</t>
  </si>
  <si>
    <t>MPZP</t>
  </si>
  <si>
    <t>-</t>
  </si>
  <si>
    <t>brak rozdzielenia kosztów</t>
  </si>
  <si>
    <t>Stowarzyszenie Zwykłe "Osiedle Wronia Podkowa"
ul. Parkowa 1/11, 71-600 Szczecin</t>
  </si>
  <si>
    <t>Sieć wodociągowa bez przyłączy
Sieć kanalizacji sanitarnej bez przyłączy
Sieć kanalizacji deszczowej</t>
  </si>
  <si>
    <t>SUMA</t>
  </si>
  <si>
    <t>tak</t>
  </si>
  <si>
    <t>MPZP / decyzja ulicp</t>
  </si>
  <si>
    <t>Procent "po równo"</t>
  </si>
  <si>
    <r>
      <t>Budowa sieci wodociągowej DN 100 L</t>
    </r>
    <r>
      <rPr>
        <sz val="12"/>
        <rFont val="Ebrima"/>
        <charset val="238"/>
      </rPr>
      <t>≈</t>
    </r>
    <r>
      <rPr>
        <sz val="12"/>
        <rFont val="Arial"/>
        <family val="2"/>
        <charset val="238"/>
      </rPr>
      <t>365m, sieci kanalizacji sanitarnej DN 200 L≈235m, sieci kanalizacji deszczowej DN 250 L≈27m w ul. Wroniej w Szczecinie</t>
    </r>
  </si>
  <si>
    <t>Stowarzyszenie Zwykłe Zadumane Wzgórze
ul. Przyszłości 32/15, 70-893 Szczecin</t>
  </si>
  <si>
    <t>Sieć wodociągowa bez przyłączy</t>
  </si>
  <si>
    <t>ulicp</t>
  </si>
  <si>
    <t>nie</t>
  </si>
  <si>
    <t xml:space="preserve"> </t>
  </si>
  <si>
    <t>Stowarzyszenie Zwykłe Kumaki
ul. Sarnia 30/1, 71-777 Szczecin</t>
  </si>
  <si>
    <t>Budowa sieci wodociągowej, sieci kanalizacji sanitarnej i kanalizacji deszczowej w rejonie ul. Łącznej i Królewskiego w Szczecinie</t>
  </si>
  <si>
    <t>Stowarzyszenie Nefrytowa - Skolwin</t>
  </si>
  <si>
    <t>Budowa sieci wodociągowej DN 100 L≈213m, sieci kanalizacji sanitarnej DN 150 L≈390m</t>
  </si>
  <si>
    <t>ulicp - brak</t>
  </si>
  <si>
    <t>Stowarzyszenie Wronia 16
ul. Polskich Marynarzy 91/31, 71-050 Szczecin</t>
  </si>
  <si>
    <r>
      <t>Budowa sieci wodociągowej PE 110 L</t>
    </r>
    <r>
      <rPr>
        <sz val="12"/>
        <rFont val="Ebrima"/>
        <charset val="238"/>
      </rPr>
      <t>≈</t>
    </r>
    <r>
      <rPr>
        <sz val="12"/>
        <rFont val="Arial"/>
        <family val="2"/>
        <charset val="238"/>
      </rPr>
      <t>235m i sieci kanalizacji sanitarnej PCV 200 L</t>
    </r>
    <r>
      <rPr>
        <sz val="12"/>
        <rFont val="Ebrima"/>
        <charset val="238"/>
      </rPr>
      <t>≈</t>
    </r>
    <r>
      <rPr>
        <sz val="12"/>
        <rFont val="Arial"/>
        <family val="2"/>
        <charset val="238"/>
      </rPr>
      <t>138m, PCV 160 L</t>
    </r>
    <r>
      <rPr>
        <sz val="12"/>
        <rFont val="Ebrima"/>
        <charset val="238"/>
      </rPr>
      <t>≈</t>
    </r>
    <r>
      <rPr>
        <sz val="12"/>
        <rFont val="Arial"/>
        <family val="2"/>
        <charset val="238"/>
      </rPr>
      <t>65m w ul. Wroniej w Szczecinie</t>
    </r>
  </si>
  <si>
    <t>Sieć wodociągowa bez przyłączy
Sieć kanalizacji sanitarnej bez przyłączy</t>
  </si>
  <si>
    <t>Stowarzyszenie Skolwinskie Wzgórza Szczecin
ul. Sławomira 13, 71-606 Szczecin</t>
  </si>
  <si>
    <t>Stowarzyszenie Zwykłe Pod Lasem
ul. Bukowska 4, 71-808 Szczecin</t>
  </si>
  <si>
    <t>Budowa sieci wodociągowej PE 160 L≈876m i PE 110 L≈230m w ul. Bykowskiej w Szczecinie</t>
  </si>
  <si>
    <t>Stowarzyszenie Wronia - Sianokosów
ul. Asnyka 16/9, 71-527 Szczecin</t>
  </si>
  <si>
    <t>Budowa sieci wodociągowej PE 110 L≈……...m w ul. Sianokosów i Wroniej w Szczecinie</t>
  </si>
  <si>
    <t>Budowa sieci wodociagowej w ul. Nehringa (bocznej) w Szczecinie</t>
  </si>
  <si>
    <t>Stowarzyszenie Zwykłe Amigo
Al. Wojska Polskiego 56/1, 70-477 Szczecin</t>
  </si>
  <si>
    <t>Utwardzenie i budowa zjazdu w pasie drogowym z ul. Hehringa w Sczecinie</t>
  </si>
  <si>
    <t>Zjazd z drogi na działkę</t>
  </si>
  <si>
    <t>Stowarzyszenie Zwykłe Woda i Kanalizacja na Ziemskiej
ul. Szarotki 5a/11, 71-604 Szczecin</t>
  </si>
  <si>
    <r>
      <t>Budowa sieci wodociągowej L</t>
    </r>
    <r>
      <rPr>
        <sz val="12"/>
        <rFont val="Ebrima"/>
        <charset val="238"/>
      </rPr>
      <t>≈60</t>
    </r>
    <r>
      <rPr>
        <sz val="12"/>
        <rFont val="Arial"/>
        <family val="2"/>
        <charset val="238"/>
      </rPr>
      <t>m, sieci kanalizacji sanitarnej L≈55m, sieci kanalizacji deszczowej L≈50m w ul. Ziemskiej w Szczecinie</t>
    </r>
  </si>
  <si>
    <t>Spis wniosków złożonych do 29.11.2019 r. o realizację przedsięwzięcia w trybie Programu Społecznych Inicjatyw Lokalnych</t>
  </si>
  <si>
    <t>Złożone wnioski podlegają weryfikacji pod względem formalnym i merytorycznym.
Wnioski mogą być uzupełniane o decyzję o pozwoleniu na budowę oraz kosztorys inwestorski do dnia 30.03.2020 r.
W związku z powyższym ostateczne zestawienie zakwalifikowanych inicjatyw do realizacji oraz ich faktyczna wartość będą znane po tej dacie.</t>
  </si>
  <si>
    <t>Budowa sieci wodociągowej L≈372m w ul. Karpackiej w Szczecinie</t>
  </si>
  <si>
    <t>Kosztorys</t>
  </si>
  <si>
    <r>
      <t xml:space="preserve">Zestawienie wniosków przewidzianych do realizacji w 2020 roku w ramach Programu Społecznych Inicjatyw Lokalnych.
</t>
    </r>
    <r>
      <rPr>
        <b/>
        <sz val="16"/>
        <color rgb="FFFF0000"/>
        <rFont val="Arial"/>
        <family val="2"/>
        <charset val="238"/>
      </rPr>
      <t>Stan realizacji sprawy</t>
    </r>
  </si>
  <si>
    <t>I</t>
  </si>
  <si>
    <t>II</t>
  </si>
  <si>
    <t>III</t>
  </si>
  <si>
    <t>IV</t>
  </si>
  <si>
    <t>Wezwano do uzupelnienia wniosku</t>
  </si>
  <si>
    <t>Wysłano informacje o odrzuceniu wniosku</t>
  </si>
  <si>
    <t>Wnioski odrzucone</t>
  </si>
  <si>
    <t>Osiedle</t>
  </si>
  <si>
    <t>Krzekowo - Bezrzecze</t>
  </si>
  <si>
    <t>Płonia - Śmierdnica - Jezierzyce</t>
  </si>
  <si>
    <t>Warszewo</t>
  </si>
  <si>
    <t>Skolwin</t>
  </si>
  <si>
    <t>Budowa sieci wodociągowej PE 160 L≈876m i PE 110 L≈230m w ul. Bukowskiej w Szczecinie</t>
  </si>
  <si>
    <t>Bukowo</t>
  </si>
  <si>
    <t>Stołczyn</t>
  </si>
  <si>
    <t>Wniosek kompletny w myśl par. 6 ust. 5 uchwały</t>
  </si>
  <si>
    <t>Wniosek kompletny i uzupełniony w myśl par. 6 ust. 6</t>
  </si>
  <si>
    <t>nie - brak ulicp</t>
  </si>
  <si>
    <t>TAK</t>
  </si>
  <si>
    <t>Wysłano do zaopiniowania do WGK i WZP
Otrzymano opinię WZP
WGK przekazało do ZWiK</t>
  </si>
  <si>
    <t>Wniosek odrzucony</t>
  </si>
  <si>
    <t xml:space="preserve">Łącznie </t>
  </si>
  <si>
    <t>czyli kwota do 30.000,00 €</t>
  </si>
  <si>
    <t>Kosztorys sprawdzony</t>
  </si>
  <si>
    <t>Wysłano do zaopiniowania do WGK i WZP
Otrzymano opinię WZP
WGK przekazało do ZWiK
Otrzymano opinię ZWIK</t>
  </si>
  <si>
    <t>Wezwano do uzupelnienia wniosku
Wniosek uzupełniono</t>
  </si>
  <si>
    <t>Wysłano do zaopiniowania do WGK i WZP
Otrzymano opinię WZP
e-mail do WGK o przesłanie opinii (09.04)</t>
  </si>
  <si>
    <t>Kosztorys sprawdzony - do poprawy</t>
  </si>
  <si>
    <r>
      <t>Budowa sieci wodociągowej PE 110 L</t>
    </r>
    <r>
      <rPr>
        <sz val="12"/>
        <color theme="1" tint="0.499984740745262"/>
        <rFont val="Ebrima"/>
        <charset val="238"/>
      </rPr>
      <t>≈</t>
    </r>
    <r>
      <rPr>
        <sz val="12"/>
        <color theme="1" tint="0.499984740745262"/>
        <rFont val="Arial"/>
        <family val="2"/>
        <charset val="238"/>
      </rPr>
      <t>235m i sieci kanalizacji sanitarnej PCV 200 L</t>
    </r>
    <r>
      <rPr>
        <sz val="12"/>
        <color theme="1" tint="0.499984740745262"/>
        <rFont val="Ebrima"/>
        <charset val="238"/>
      </rPr>
      <t>≈</t>
    </r>
    <r>
      <rPr>
        <sz val="12"/>
        <color theme="1" tint="0.499984740745262"/>
        <rFont val="Arial"/>
        <family val="2"/>
        <charset val="238"/>
      </rPr>
      <t>138m, PCV 160 L</t>
    </r>
    <r>
      <rPr>
        <sz val="12"/>
        <color theme="1" tint="0.499984740745262"/>
        <rFont val="Ebrima"/>
        <charset val="238"/>
      </rPr>
      <t>≈</t>
    </r>
    <r>
      <rPr>
        <sz val="12"/>
        <color theme="1" tint="0.499984740745262"/>
        <rFont val="Arial"/>
        <family val="2"/>
        <charset val="238"/>
      </rPr>
      <t>65m w ul. Wroniej w Szczecinie</t>
    </r>
  </si>
  <si>
    <t>Nie uzupełniono o pozwolenie i kosztorys</t>
  </si>
  <si>
    <r>
      <t>Budowa sieci wodociągowej L</t>
    </r>
    <r>
      <rPr>
        <sz val="12"/>
        <color theme="1" tint="0.499984740745262"/>
        <rFont val="Ebrima"/>
        <charset val="238"/>
      </rPr>
      <t>≈60</t>
    </r>
    <r>
      <rPr>
        <sz val="12"/>
        <color theme="1" tint="0.499984740745262"/>
        <rFont val="Arial"/>
        <family val="2"/>
        <charset val="238"/>
      </rPr>
      <t>m, sieci kanalizacji sanitarnej L≈55m, sieci kanalizacji deszczowej L≈50m w ul. Ziemskiej w Szczecinie</t>
    </r>
  </si>
  <si>
    <t>Wysłano zawoadomienie o odrzuceniu wniosku</t>
  </si>
  <si>
    <t>Wysłano zawiadomienie o odrzuceniu wniosku</t>
  </si>
  <si>
    <t>Budowa sieci wodociągowej PE 110 L≈249m w ul. Sianokosów i Wroniej w Szczecinie</t>
  </si>
  <si>
    <t>Utwardzenie i budowa zjazdu w pasie drogowym 
z ul. Hehringa w Sczecinie</t>
  </si>
  <si>
    <t>Budowa sieci wodociagowej PE 100RC L≈49m  
w ul. Nehringa (bocznej) w Szczecinie</t>
  </si>
  <si>
    <t>Budowa sieci wodociągowej PE 110 L≈249m 
w ul. Sianokosów i Wroniej w Szczecinie</t>
  </si>
  <si>
    <r>
      <t xml:space="preserve">Zestawienie wniosków o realizację inwestycji w 2020 roku w ramach Programu Społecznych Inicjatyw Lokalnych.
</t>
    </r>
    <r>
      <rPr>
        <b/>
        <sz val="16"/>
        <color rgb="FFFF0000"/>
        <rFont val="Arial"/>
        <family val="2"/>
        <charset val="238"/>
      </rPr>
      <t>Stan na 10.04.2020 r.</t>
    </r>
  </si>
  <si>
    <t>Stowarzyszenie Nefrytowa - Skolwin
ul. Policka 64/4, 71-837 Szczecin</t>
  </si>
  <si>
    <t>Wniosek kompletny</t>
  </si>
  <si>
    <t>Wniosek pod względem formalnym kompletny.
Sprawdzany pod względem merytorycznym.</t>
  </si>
  <si>
    <t>Weryfikacja kompletności wniosku pod względem formalnym</t>
  </si>
  <si>
    <t xml:space="preserve">po równo </t>
  </si>
  <si>
    <t>30.000 € netto to</t>
  </si>
  <si>
    <t>brutto</t>
  </si>
  <si>
    <t>uwzgledniono koszt projektu z oferty cenowej załączonej do wniosku</t>
  </si>
  <si>
    <t>braki formalne</t>
  </si>
  <si>
    <t>zadanie spoza katalogu przedsięwzięć podlegających refinansowaniu</t>
  </si>
  <si>
    <t>Stowarzyszenie Zwykłe "Zadumane Wzgórze"
ul. Przyszłości 32/15, 70-893 Szczecin</t>
  </si>
  <si>
    <t>Stowarzyszenie "Wronia - Sianokosów"
ul. Asnyka 16/9, 71-527 Szczecin</t>
  </si>
  <si>
    <t>Stowarzyszenie Zwykłe "Kumaki"
ul. Sarnia 30/1, 71-777 Szczecin</t>
  </si>
  <si>
    <t>Stowarzyszenie Zwykłe "Pod Lasem"
ul. Bukowska 4, 71-808 Szczecin</t>
  </si>
  <si>
    <t>Stowarzyszenie Zwykłe "Amigo"
Al. Wojska Polskiego 56/1, 70-477 Szczecin</t>
  </si>
  <si>
    <t>Data złożenia wniosku o refinansowanie</t>
  </si>
  <si>
    <t>Wnioskowany zakres podlegający refinansowaniu</t>
  </si>
  <si>
    <t>Kwota refinansowania przez Miasto</t>
  </si>
  <si>
    <t>Zestawienie wniosków przewidzianych do realizacji w 2020 roku w ramach Programu Społecznych Inicjatyw Lokalnych.</t>
  </si>
  <si>
    <t>WNIOSKODAWCA</t>
  </si>
  <si>
    <t>Podpis Wnioskodawcy</t>
  </si>
  <si>
    <t>ZATWIERDZAM</t>
  </si>
  <si>
    <t>Podpis Prezydenta Miasta</t>
  </si>
  <si>
    <t>……………………………………………………</t>
  </si>
  <si>
    <t>Budowa sieci wodociągowej DN 110 L≈150m w ul. Zadumanej - bocznej w Szczecinie</t>
  </si>
  <si>
    <r>
      <t xml:space="preserve">Zestawienie wniosków przewidzianych do realizacji w 2020 roku w ramach Programu Społecznych Inicjatyw Lokalnych.
</t>
    </r>
    <r>
      <rPr>
        <b/>
        <sz val="16"/>
        <color rgb="FFFF0000"/>
        <rFont val="Arial"/>
        <family val="2"/>
        <charset val="238"/>
      </rPr>
      <t>Wstępny podział środków</t>
    </r>
  </si>
  <si>
    <t>refinansowanie w takiej wysokości zostanie przyznane wyłącznie w przypadku przeprowadzenia procedury (wartość inicjatywy określana jest łącznie ze s.z. "Wronia-Sianokosów" w celu uniknięcia dzielenia zamówienia w myśl ustawy Prawo zam. publicznych)</t>
  </si>
  <si>
    <t>refinansowanie w takiej wysokości zostanie przyznane wyłącznie w przypadku przeprowadzenia procedury przetargowej</t>
  </si>
  <si>
    <t>refinansowanie w takiej wysokości zostanie przyznane wyłącznie w przypadku przeprowadzenia procedury przetargowej  (wartość inicjatywy określana jest łącznie ze s.z. "Osiedle Wronia Podkowa" w celu uniknięcia dzielenia zamówienia w myśl ustawy Prawo zam. publicznych)</t>
  </si>
  <si>
    <t>Wyłączono z Programu, gdyż wysokość refinansowania przekracza kwotę określoną w art. 4 pkt. 8 ustawy Prawo zamówień publicznych.</t>
  </si>
  <si>
    <t xml:space="preserve">Zestawienie wniosków przewidzianych do realizacji w 2025 roku w ramach Programu Społecznych Inicjatyw Lokalnych.
</t>
  </si>
  <si>
    <t>Stowarzyszenie Zwykłe Skolwin Nefrytowa 2024 ul. Willowa 30/16, 71-650 Szczecin</t>
  </si>
  <si>
    <t xml:space="preserve">Budowa sieci wodociągowej bez przyłaczyw ul. Nefrytowej: DN 160 L≈96 m i Nefrytowej - Bocznej w Szczecinie: DN 125 L≈95 m,  DN 110 L≈419 m </t>
  </si>
  <si>
    <t>Całkowita wartość Inicjatywy brutto</t>
  </si>
</sst>
</file>

<file path=xl/styles.xml><?xml version="1.0" encoding="utf-8"?>
<styleSheet xmlns="http://schemas.openxmlformats.org/spreadsheetml/2006/main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&quot;Nakłady budżetowe -&quot;#,##0.00\ &quot;zł&quot;"/>
    <numFmt numFmtId="165" formatCode="#,##0.00\ &quot;zł&quot;"/>
    <numFmt numFmtId="166" formatCode="#,##0\ &quot;zł&quot;"/>
    <numFmt numFmtId="167" formatCode="0.000%"/>
  </numFmts>
  <fonts count="39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6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name val="Ebrima"/>
      <charset val="238"/>
    </font>
    <font>
      <b/>
      <sz val="18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1" tint="0.499984740745262"/>
      <name val="Arial"/>
      <family val="2"/>
      <charset val="238"/>
    </font>
    <font>
      <sz val="14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0" tint="-0.24994659260841701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b/>
      <sz val="12"/>
      <color theme="0" tint="-0.499984740745262"/>
      <name val="Arial"/>
      <family val="2"/>
      <charset val="238"/>
    </font>
    <font>
      <b/>
      <sz val="13"/>
      <color theme="0" tint="-0.499984740745262"/>
      <name val="Arial"/>
      <family val="2"/>
      <charset val="238"/>
    </font>
    <font>
      <sz val="13"/>
      <color theme="0" tint="-0.499984740745262"/>
      <name val="Arial"/>
      <family val="2"/>
      <charset val="238"/>
    </font>
    <font>
      <sz val="11"/>
      <color theme="0" tint="-0.499984740745262"/>
      <name val="Arial"/>
      <family val="2"/>
      <charset val="238"/>
    </font>
    <font>
      <sz val="18"/>
      <color theme="1"/>
      <name val="Arial"/>
      <family val="2"/>
      <charset val="238"/>
    </font>
    <font>
      <sz val="12"/>
      <color theme="1" tint="0.499984740745262"/>
      <name val="Ebrima"/>
      <charset val="238"/>
    </font>
    <font>
      <b/>
      <sz val="12"/>
      <color theme="1" tint="0.499984740745262"/>
      <name val="Arial"/>
      <family val="2"/>
      <charset val="238"/>
    </font>
    <font>
      <b/>
      <sz val="13"/>
      <color theme="1" tint="0.499984740745262"/>
      <name val="Arial"/>
      <family val="2"/>
      <charset val="238"/>
    </font>
    <font>
      <sz val="13"/>
      <color theme="1" tint="0.49998474074526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00B050"/>
      <name val="Arial"/>
      <family val="2"/>
      <charset val="238"/>
    </font>
    <font>
      <b/>
      <sz val="16"/>
      <color theme="1"/>
      <name val="Arial"/>
      <family val="2"/>
      <charset val="238"/>
    </font>
    <font>
      <sz val="14"/>
      <color theme="1" tint="0.499984740745262"/>
      <name val="Arial"/>
      <family val="2"/>
      <charset val="238"/>
    </font>
    <font>
      <sz val="16"/>
      <color theme="1" tint="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7">
    <xf numFmtId="0" fontId="0" fillId="0" borderId="0" xfId="0"/>
    <xf numFmtId="0" fontId="4" fillId="0" borderId="0" xfId="0" applyFont="1"/>
    <xf numFmtId="0" fontId="5" fillId="2" borderId="0" xfId="0" applyFont="1" applyFill="1" applyBorder="1" applyAlignment="1"/>
    <xf numFmtId="164" fontId="6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/>
    <xf numFmtId="4" fontId="2" fillId="2" borderId="0" xfId="0" applyNumberFormat="1" applyFont="1" applyFill="1" applyBorder="1" applyAlignment="1"/>
    <xf numFmtId="0" fontId="2" fillId="2" borderId="0" xfId="0" applyFont="1" applyFill="1" applyBorder="1"/>
    <xf numFmtId="0" fontId="5" fillId="2" borderId="0" xfId="0" applyFont="1" applyFill="1" applyBorder="1"/>
    <xf numFmtId="10" fontId="2" fillId="2" borderId="0" xfId="0" applyNumberFormat="1" applyFont="1" applyFill="1" applyBorder="1" applyAlignment="1"/>
    <xf numFmtId="0" fontId="7" fillId="2" borderId="0" xfId="0" applyFont="1" applyFill="1" applyBorder="1" applyAlignment="1"/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4" fontId="6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/>
    <xf numFmtId="10" fontId="6" fillId="2" borderId="0" xfId="0" applyNumberFormat="1" applyFont="1" applyFill="1" applyBorder="1" applyAlignment="1"/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0" fontId="8" fillId="3" borderId="2" xfId="0" applyNumberFormat="1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Fill="1" applyBorder="1" applyAlignment="1">
      <alignment vertical="center" wrapText="1"/>
    </xf>
    <xf numFmtId="0" fontId="9" fillId="0" borderId="7" xfId="0" applyNumberFormat="1" applyFont="1" applyFill="1" applyBorder="1" applyAlignment="1">
      <alignment vertical="center" wrapText="1"/>
    </xf>
    <xf numFmtId="0" fontId="8" fillId="0" borderId="7" xfId="0" applyNumberFormat="1" applyFont="1" applyFill="1" applyBorder="1" applyAlignment="1">
      <alignment horizontal="left" vertical="center" wrapText="1"/>
    </xf>
    <xf numFmtId="14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165" fontId="9" fillId="0" borderId="7" xfId="0" applyNumberFormat="1" applyFont="1" applyFill="1" applyBorder="1" applyAlignment="1">
      <alignment horizontal="right" vertical="center" wrapText="1"/>
    </xf>
    <xf numFmtId="165" fontId="10" fillId="0" borderId="7" xfId="0" applyNumberFormat="1" applyFont="1" applyFill="1" applyBorder="1" applyAlignment="1">
      <alignment horizontal="right" vertical="center" wrapText="1"/>
    </xf>
    <xf numFmtId="10" fontId="11" fillId="2" borderId="7" xfId="1" applyNumberFormat="1" applyFont="1" applyFill="1" applyBorder="1" applyAlignment="1">
      <alignment horizontal="center" vertical="center"/>
    </xf>
    <xf numFmtId="44" fontId="11" fillId="0" borderId="7" xfId="1" applyNumberFormat="1" applyFont="1" applyFill="1" applyBorder="1" applyAlignment="1">
      <alignment horizontal="right" vertical="center"/>
    </xf>
    <xf numFmtId="165" fontId="9" fillId="0" borderId="7" xfId="0" quotePrefix="1" applyNumberFormat="1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center" vertical="center"/>
    </xf>
    <xf numFmtId="14" fontId="9" fillId="0" borderId="7" xfId="0" applyNumberFormat="1" applyFont="1" applyFill="1" applyBorder="1" applyAlignment="1">
      <alignment horizontal="center" vertical="center"/>
    </xf>
    <xf numFmtId="165" fontId="9" fillId="0" borderId="7" xfId="0" quotePrefix="1" applyNumberFormat="1" applyFont="1" applyFill="1" applyBorder="1" applyAlignment="1">
      <alignment horizontal="right" vertical="center"/>
    </xf>
    <xf numFmtId="165" fontId="9" fillId="0" borderId="7" xfId="0" applyNumberFormat="1" applyFont="1" applyFill="1" applyBorder="1" applyAlignment="1">
      <alignment horizontal="right" vertical="center"/>
    </xf>
    <xf numFmtId="4" fontId="8" fillId="0" borderId="8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/>
    </xf>
    <xf numFmtId="165" fontId="10" fillId="0" borderId="12" xfId="0" applyNumberFormat="1" applyFont="1" applyBorder="1" applyAlignment="1">
      <alignment horizontal="right" vertical="center" wrapText="1"/>
    </xf>
    <xf numFmtId="4" fontId="10" fillId="0" borderId="12" xfId="0" applyNumberFormat="1" applyFont="1" applyBorder="1" applyAlignment="1">
      <alignment horizontal="right" vertical="center"/>
    </xf>
    <xf numFmtId="165" fontId="4" fillId="0" borderId="0" xfId="0" applyNumberFormat="1" applyFont="1"/>
    <xf numFmtId="10" fontId="11" fillId="2" borderId="18" xfId="1" applyNumberFormat="1" applyFont="1" applyFill="1" applyBorder="1" applyAlignment="1">
      <alignment horizontal="center" vertical="center"/>
    </xf>
    <xf numFmtId="0" fontId="9" fillId="0" borderId="18" xfId="0" applyNumberFormat="1" applyFont="1" applyFill="1" applyBorder="1" applyAlignment="1">
      <alignment vertical="center" wrapText="1"/>
    </xf>
    <xf numFmtId="0" fontId="8" fillId="0" borderId="18" xfId="0" applyNumberFormat="1" applyFont="1" applyFill="1" applyBorder="1" applyAlignment="1">
      <alignment horizontal="left" vertical="center" wrapText="1"/>
    </xf>
    <xf numFmtId="14" fontId="9" fillId="0" borderId="18" xfId="0" applyNumberFormat="1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 wrapText="1"/>
    </xf>
    <xf numFmtId="165" fontId="9" fillId="0" borderId="18" xfId="0" applyNumberFormat="1" applyFont="1" applyFill="1" applyBorder="1" applyAlignment="1">
      <alignment horizontal="right" vertical="center" wrapText="1"/>
    </xf>
    <xf numFmtId="165" fontId="9" fillId="0" borderId="18" xfId="0" quotePrefix="1" applyNumberFormat="1" applyFont="1" applyFill="1" applyBorder="1" applyAlignment="1">
      <alignment horizontal="right" vertical="center" wrapText="1"/>
    </xf>
    <xf numFmtId="44" fontId="11" fillId="0" borderId="18" xfId="1" applyNumberFormat="1" applyFont="1" applyFill="1" applyBorder="1" applyAlignment="1">
      <alignment horizontal="right" vertical="center"/>
    </xf>
    <xf numFmtId="0" fontId="9" fillId="0" borderId="18" xfId="0" applyFont="1" applyFill="1" applyBorder="1" applyAlignment="1">
      <alignment vertical="center" wrapText="1"/>
    </xf>
    <xf numFmtId="4" fontId="10" fillId="0" borderId="15" xfId="0" applyNumberFormat="1" applyFont="1" applyBorder="1" applyAlignment="1">
      <alignment horizontal="right" vertical="center"/>
    </xf>
    <xf numFmtId="4" fontId="8" fillId="0" borderId="20" xfId="0" applyNumberFormat="1" applyFont="1" applyFill="1" applyBorder="1" applyAlignment="1">
      <alignment vertical="center" wrapText="1"/>
    </xf>
    <xf numFmtId="4" fontId="8" fillId="0" borderId="8" xfId="0" applyNumberFormat="1" applyFont="1" applyFill="1" applyBorder="1" applyAlignment="1">
      <alignment vertical="center" wrapText="1"/>
    </xf>
    <xf numFmtId="4" fontId="8" fillId="0" borderId="19" xfId="0" applyNumberFormat="1" applyFont="1" applyFill="1" applyBorder="1" applyAlignment="1">
      <alignment horizontal="left" vertical="center" wrapText="1"/>
    </xf>
    <xf numFmtId="165" fontId="10" fillId="0" borderId="17" xfId="0" applyNumberFormat="1" applyFont="1" applyBorder="1" applyAlignment="1">
      <alignment horizontal="right" vertical="center"/>
    </xf>
    <xf numFmtId="9" fontId="8" fillId="0" borderId="13" xfId="1" applyFont="1" applyBorder="1" applyAlignment="1">
      <alignment horizontal="center" vertical="center"/>
    </xf>
    <xf numFmtId="14" fontId="9" fillId="0" borderId="18" xfId="0" applyNumberFormat="1" applyFont="1" applyFill="1" applyBorder="1" applyAlignment="1">
      <alignment horizontal="center" vertical="center"/>
    </xf>
    <xf numFmtId="165" fontId="9" fillId="0" borderId="18" xfId="0" quotePrefix="1" applyNumberFormat="1" applyFont="1" applyFill="1" applyBorder="1" applyAlignment="1">
      <alignment horizontal="right" vertical="center"/>
    </xf>
    <xf numFmtId="165" fontId="9" fillId="0" borderId="18" xfId="0" applyNumberFormat="1" applyFont="1" applyFill="1" applyBorder="1" applyAlignment="1">
      <alignment horizontal="right" vertical="center"/>
    </xf>
    <xf numFmtId="4" fontId="8" fillId="0" borderId="19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right" vertical="center" wrapText="1"/>
    </xf>
    <xf numFmtId="0" fontId="12" fillId="0" borderId="0" xfId="0" applyFont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/>
    <xf numFmtId="0" fontId="19" fillId="0" borderId="0" xfId="0" applyFont="1"/>
    <xf numFmtId="165" fontId="19" fillId="0" borderId="0" xfId="0" applyNumberFormat="1" applyFont="1"/>
    <xf numFmtId="10" fontId="19" fillId="0" borderId="0" xfId="0" applyNumberFormat="1" applyFont="1"/>
    <xf numFmtId="0" fontId="9" fillId="0" borderId="0" xfId="0" applyFont="1" applyBorder="1"/>
    <xf numFmtId="4" fontId="8" fillId="0" borderId="0" xfId="0" applyNumberFormat="1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/>
    <xf numFmtId="165" fontId="20" fillId="0" borderId="0" xfId="0" applyNumberFormat="1" applyFont="1" applyAlignment="1">
      <alignment vertical="center"/>
    </xf>
    <xf numFmtId="165" fontId="20" fillId="0" borderId="0" xfId="0" applyNumberFormat="1" applyFont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0" fontId="2" fillId="0" borderId="22" xfId="0" applyNumberFormat="1" applyFont="1" applyFill="1" applyBorder="1" applyAlignment="1">
      <alignment horizontal="center" vertical="center" wrapText="1"/>
    </xf>
    <xf numFmtId="9" fontId="8" fillId="0" borderId="16" xfId="1" applyFont="1" applyBorder="1" applyAlignment="1">
      <alignment horizontal="center" vertical="center"/>
    </xf>
    <xf numFmtId="10" fontId="6" fillId="0" borderId="0" xfId="0" applyNumberFormat="1" applyFont="1" applyFill="1" applyBorder="1" applyAlignment="1">
      <alignment vertical="center" wrapText="1"/>
    </xf>
    <xf numFmtId="44" fontId="21" fillId="2" borderId="0" xfId="0" applyNumberFormat="1" applyFont="1" applyFill="1" applyBorder="1" applyAlignment="1"/>
    <xf numFmtId="10" fontId="11" fillId="0" borderId="7" xfId="1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4" fillId="0" borderId="0" xfId="0" applyFont="1" applyFill="1"/>
    <xf numFmtId="0" fontId="22" fillId="0" borderId="6" xfId="0" applyFont="1" applyFill="1" applyBorder="1" applyAlignment="1">
      <alignment horizontal="center" vertical="center"/>
    </xf>
    <xf numFmtId="0" fontId="23" fillId="0" borderId="7" xfId="0" applyNumberFormat="1" applyFont="1" applyFill="1" applyBorder="1" applyAlignment="1">
      <alignment horizontal="left" vertical="center" wrapText="1"/>
    </xf>
    <xf numFmtId="165" fontId="24" fillId="0" borderId="7" xfId="0" applyNumberFormat="1" applyFont="1" applyFill="1" applyBorder="1" applyAlignment="1">
      <alignment horizontal="right" vertical="center" wrapText="1"/>
    </xf>
    <xf numFmtId="10" fontId="25" fillId="2" borderId="7" xfId="1" applyNumberFormat="1" applyFont="1" applyFill="1" applyBorder="1" applyAlignment="1">
      <alignment horizontal="center" vertical="center"/>
    </xf>
    <xf numFmtId="44" fontId="25" fillId="0" borderId="7" xfId="1" applyNumberFormat="1" applyFont="1" applyFill="1" applyBorder="1" applyAlignment="1">
      <alignment horizontal="right" vertical="center"/>
    </xf>
    <xf numFmtId="0" fontId="26" fillId="0" borderId="0" xfId="0" applyFont="1"/>
    <xf numFmtId="0" fontId="22" fillId="0" borderId="7" xfId="0" applyFont="1" applyFill="1" applyBorder="1" applyAlignment="1">
      <alignment vertical="center" wrapText="1"/>
    </xf>
    <xf numFmtId="0" fontId="22" fillId="0" borderId="7" xfId="0" applyNumberFormat="1" applyFont="1" applyFill="1" applyBorder="1" applyAlignment="1">
      <alignment vertical="center" wrapText="1"/>
    </xf>
    <xf numFmtId="14" fontId="22" fillId="0" borderId="7" xfId="0" applyNumberFormat="1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165" fontId="22" fillId="0" borderId="7" xfId="0" applyNumberFormat="1" applyFont="1" applyFill="1" applyBorder="1" applyAlignment="1">
      <alignment horizontal="right" vertical="center" wrapText="1"/>
    </xf>
    <xf numFmtId="165" fontId="22" fillId="0" borderId="7" xfId="0" quotePrefix="1" applyNumberFormat="1" applyFont="1" applyFill="1" applyBorder="1" applyAlignment="1">
      <alignment horizontal="right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vertical="center" wrapText="1"/>
    </xf>
    <xf numFmtId="0" fontId="9" fillId="0" borderId="24" xfId="0" applyNumberFormat="1" applyFont="1" applyFill="1" applyBorder="1" applyAlignment="1">
      <alignment vertical="center" wrapText="1"/>
    </xf>
    <xf numFmtId="0" fontId="8" fillId="0" borderId="24" xfId="0" applyNumberFormat="1" applyFont="1" applyFill="1" applyBorder="1" applyAlignment="1">
      <alignment horizontal="left" vertical="center" wrapText="1"/>
    </xf>
    <xf numFmtId="14" fontId="9" fillId="0" borderId="24" xfId="0" applyNumberFormat="1" applyFont="1" applyFill="1" applyBorder="1" applyAlignment="1">
      <alignment horizontal="center" vertical="center" wrapText="1"/>
    </xf>
    <xf numFmtId="0" fontId="9" fillId="0" borderId="24" xfId="0" applyNumberFormat="1" applyFont="1" applyFill="1" applyBorder="1" applyAlignment="1">
      <alignment horizontal="center" vertical="center" wrapText="1"/>
    </xf>
    <xf numFmtId="165" fontId="9" fillId="0" borderId="24" xfId="0" applyNumberFormat="1" applyFont="1" applyFill="1" applyBorder="1" applyAlignment="1">
      <alignment horizontal="right" vertical="center" wrapText="1"/>
    </xf>
    <xf numFmtId="165" fontId="9" fillId="0" borderId="24" xfId="0" quotePrefix="1" applyNumberFormat="1" applyFont="1" applyFill="1" applyBorder="1" applyAlignment="1">
      <alignment horizontal="right" vertical="center" wrapText="1"/>
    </xf>
    <xf numFmtId="165" fontId="10" fillId="0" borderId="24" xfId="0" applyNumberFormat="1" applyFont="1" applyFill="1" applyBorder="1" applyAlignment="1">
      <alignment horizontal="right" vertical="center" wrapText="1"/>
    </xf>
    <xf numFmtId="10" fontId="11" fillId="2" borderId="24" xfId="1" applyNumberFormat="1" applyFont="1" applyFill="1" applyBorder="1" applyAlignment="1">
      <alignment horizontal="center" vertical="center"/>
    </xf>
    <xf numFmtId="44" fontId="11" fillId="0" borderId="24" xfId="1" applyNumberFormat="1" applyFont="1" applyFill="1" applyBorder="1" applyAlignment="1">
      <alignment horizontal="right" vertical="center"/>
    </xf>
    <xf numFmtId="4" fontId="8" fillId="0" borderId="25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8" fillId="0" borderId="27" xfId="0" applyNumberFormat="1" applyFont="1" applyFill="1" applyBorder="1" applyAlignment="1">
      <alignment horizontal="left" vertical="center" wrapText="1"/>
    </xf>
    <xf numFmtId="14" fontId="9" fillId="0" borderId="27" xfId="0" applyNumberFormat="1" applyFont="1" applyFill="1" applyBorder="1" applyAlignment="1">
      <alignment horizontal="center" vertical="center"/>
    </xf>
    <xf numFmtId="0" fontId="17" fillId="0" borderId="27" xfId="0" applyNumberFormat="1" applyFont="1" applyFill="1" applyBorder="1" applyAlignment="1">
      <alignment horizontal="center" vertical="center" wrapText="1"/>
    </xf>
    <xf numFmtId="0" fontId="9" fillId="0" borderId="27" xfId="0" applyNumberFormat="1" applyFont="1" applyFill="1" applyBorder="1" applyAlignment="1">
      <alignment horizontal="center" vertical="center" wrapText="1"/>
    </xf>
    <xf numFmtId="165" fontId="9" fillId="0" borderId="27" xfId="0" quotePrefix="1" applyNumberFormat="1" applyFont="1" applyFill="1" applyBorder="1" applyAlignment="1">
      <alignment horizontal="right" vertical="center"/>
    </xf>
    <xf numFmtId="165" fontId="9" fillId="0" borderId="27" xfId="0" applyNumberFormat="1" applyFont="1" applyFill="1" applyBorder="1" applyAlignment="1">
      <alignment horizontal="right" vertical="center"/>
    </xf>
    <xf numFmtId="165" fontId="10" fillId="0" borderId="27" xfId="0" applyNumberFormat="1" applyFont="1" applyFill="1" applyBorder="1" applyAlignment="1">
      <alignment horizontal="right" vertical="center" wrapText="1"/>
    </xf>
    <xf numFmtId="10" fontId="11" fillId="2" borderId="27" xfId="1" applyNumberFormat="1" applyFont="1" applyFill="1" applyBorder="1" applyAlignment="1">
      <alignment horizontal="center" vertical="center"/>
    </xf>
    <xf numFmtId="44" fontId="11" fillId="0" borderId="27" xfId="1" applyNumberFormat="1" applyFont="1" applyFill="1" applyBorder="1" applyAlignment="1">
      <alignment horizontal="right" vertical="center"/>
    </xf>
    <xf numFmtId="4" fontId="8" fillId="0" borderId="2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165" fontId="20" fillId="0" borderId="0" xfId="0" applyNumberFormat="1" applyFont="1" applyBorder="1" applyAlignment="1">
      <alignment horizontal="right" vertical="center"/>
    </xf>
    <xf numFmtId="0" fontId="19" fillId="0" borderId="0" xfId="0" applyFont="1" applyBorder="1"/>
    <xf numFmtId="0" fontId="27" fillId="0" borderId="0" xfId="0" applyFont="1" applyAlignment="1">
      <alignment horizontal="left" vertical="center"/>
    </xf>
    <xf numFmtId="165" fontId="20" fillId="0" borderId="0" xfId="0" applyNumberFormat="1" applyFont="1" applyAlignment="1">
      <alignment horizontal="left" vertical="center"/>
    </xf>
    <xf numFmtId="0" fontId="27" fillId="0" borderId="0" xfId="0" applyFont="1"/>
    <xf numFmtId="0" fontId="9" fillId="5" borderId="18" xfId="0" applyNumberFormat="1" applyFont="1" applyFill="1" applyBorder="1" applyAlignment="1">
      <alignment horizontal="center" vertical="center" wrapText="1"/>
    </xf>
    <xf numFmtId="0" fontId="9" fillId="5" borderId="7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vertical="center" wrapText="1"/>
    </xf>
    <xf numFmtId="0" fontId="18" fillId="0" borderId="7" xfId="0" applyNumberFormat="1" applyFont="1" applyFill="1" applyBorder="1" applyAlignment="1">
      <alignment vertical="center" wrapText="1"/>
    </xf>
    <xf numFmtId="0" fontId="22" fillId="0" borderId="7" xfId="0" applyFont="1" applyBorder="1" applyAlignment="1">
      <alignment horizontal="left" vertical="center" wrapText="1"/>
    </xf>
    <xf numFmtId="4" fontId="22" fillId="0" borderId="7" xfId="0" applyNumberFormat="1" applyFont="1" applyFill="1" applyBorder="1" applyAlignment="1">
      <alignment vertical="center" wrapText="1"/>
    </xf>
    <xf numFmtId="4" fontId="18" fillId="0" borderId="7" xfId="0" applyNumberFormat="1" applyFont="1" applyFill="1" applyBorder="1" applyAlignment="1">
      <alignment vertical="center" wrapText="1"/>
    </xf>
    <xf numFmtId="0" fontId="18" fillId="0" borderId="7" xfId="0" applyFont="1" applyBorder="1" applyAlignment="1">
      <alignment horizontal="left" vertical="center" wrapText="1"/>
    </xf>
    <xf numFmtId="4" fontId="32" fillId="0" borderId="7" xfId="0" applyNumberFormat="1" applyFont="1" applyFill="1" applyBorder="1" applyAlignment="1">
      <alignment vertical="center" wrapText="1"/>
    </xf>
    <xf numFmtId="4" fontId="9" fillId="0" borderId="7" xfId="0" applyNumberFormat="1" applyFont="1" applyFill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14" fontId="22" fillId="0" borderId="7" xfId="0" applyNumberFormat="1" applyFont="1" applyFill="1" applyBorder="1" applyAlignment="1">
      <alignment horizontal="center" vertical="center"/>
    </xf>
    <xf numFmtId="165" fontId="22" fillId="0" borderId="7" xfId="0" quotePrefix="1" applyNumberFormat="1" applyFont="1" applyFill="1" applyBorder="1" applyAlignment="1">
      <alignment horizontal="right" vertical="center"/>
    </xf>
    <xf numFmtId="165" fontId="22" fillId="0" borderId="7" xfId="0" applyNumberFormat="1" applyFont="1" applyFill="1" applyBorder="1" applyAlignment="1">
      <alignment horizontal="right" vertical="center"/>
    </xf>
    <xf numFmtId="4" fontId="9" fillId="0" borderId="7" xfId="0" applyNumberFormat="1" applyFont="1" applyFill="1" applyBorder="1" applyAlignment="1">
      <alignment horizontal="center" vertical="center" wrapText="1"/>
    </xf>
    <xf numFmtId="4" fontId="32" fillId="0" borderId="7" xfId="0" applyNumberFormat="1" applyFont="1" applyFill="1" applyBorder="1" applyAlignment="1">
      <alignment horizontal="left" vertical="center" wrapText="1"/>
    </xf>
    <xf numFmtId="4" fontId="18" fillId="0" borderId="7" xfId="0" applyNumberFormat="1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/>
    </xf>
    <xf numFmtId="4" fontId="32" fillId="0" borderId="24" xfId="0" applyNumberFormat="1" applyFont="1" applyFill="1" applyBorder="1" applyAlignment="1">
      <alignment vertical="center" wrapText="1"/>
    </xf>
    <xf numFmtId="4" fontId="9" fillId="0" borderId="24" xfId="0" applyNumberFormat="1" applyFont="1" applyFill="1" applyBorder="1" applyAlignment="1">
      <alignment vertical="center" wrapText="1"/>
    </xf>
    <xf numFmtId="4" fontId="9" fillId="0" borderId="25" xfId="0" applyNumberFormat="1" applyFont="1" applyFill="1" applyBorder="1" applyAlignment="1">
      <alignment vertical="center" wrapText="1"/>
    </xf>
    <xf numFmtId="4" fontId="9" fillId="0" borderId="8" xfId="0" applyNumberFormat="1" applyFont="1" applyFill="1" applyBorder="1" applyAlignment="1">
      <alignment vertical="center" wrapText="1"/>
    </xf>
    <xf numFmtId="0" fontId="18" fillId="0" borderId="26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vertical="center" wrapText="1"/>
    </xf>
    <xf numFmtId="0" fontId="18" fillId="0" borderId="27" xfId="0" applyNumberFormat="1" applyFont="1" applyFill="1" applyBorder="1" applyAlignment="1">
      <alignment vertical="center" wrapText="1"/>
    </xf>
    <xf numFmtId="0" fontId="29" fillId="0" borderId="27" xfId="0" applyNumberFormat="1" applyFont="1" applyFill="1" applyBorder="1" applyAlignment="1">
      <alignment horizontal="left" vertical="center" wrapText="1"/>
    </xf>
    <xf numFmtId="14" fontId="18" fillId="0" borderId="27" xfId="0" applyNumberFormat="1" applyFont="1" applyFill="1" applyBorder="1" applyAlignment="1">
      <alignment horizontal="center" vertical="center" wrapText="1"/>
    </xf>
    <xf numFmtId="0" fontId="18" fillId="0" borderId="27" xfId="0" applyNumberFormat="1" applyFont="1" applyFill="1" applyBorder="1" applyAlignment="1">
      <alignment horizontal="center" vertical="center" wrapText="1"/>
    </xf>
    <xf numFmtId="165" fontId="18" fillId="0" borderId="27" xfId="0" applyNumberFormat="1" applyFont="1" applyFill="1" applyBorder="1" applyAlignment="1">
      <alignment horizontal="right" vertical="center" wrapText="1"/>
    </xf>
    <xf numFmtId="165" fontId="18" fillId="0" borderId="27" xfId="0" quotePrefix="1" applyNumberFormat="1" applyFont="1" applyFill="1" applyBorder="1" applyAlignment="1">
      <alignment horizontal="right" vertical="center" wrapText="1"/>
    </xf>
    <xf numFmtId="165" fontId="30" fillId="0" borderId="27" xfId="0" applyNumberFormat="1" applyFont="1" applyFill="1" applyBorder="1" applyAlignment="1">
      <alignment horizontal="right" vertical="center" wrapText="1"/>
    </xf>
    <xf numFmtId="10" fontId="31" fillId="2" borderId="27" xfId="1" applyNumberFormat="1" applyFont="1" applyFill="1" applyBorder="1" applyAlignment="1">
      <alignment horizontal="center" vertical="center"/>
    </xf>
    <xf numFmtId="44" fontId="31" fillId="0" borderId="27" xfId="1" applyNumberFormat="1" applyFont="1" applyFill="1" applyBorder="1" applyAlignment="1">
      <alignment horizontal="right" vertical="center"/>
    </xf>
    <xf numFmtId="4" fontId="18" fillId="0" borderId="27" xfId="0" applyNumberFormat="1" applyFont="1" applyFill="1" applyBorder="1" applyAlignment="1">
      <alignment vertical="center" wrapText="1"/>
    </xf>
    <xf numFmtId="4" fontId="18" fillId="0" borderId="27" xfId="0" applyNumberFormat="1" applyFont="1" applyFill="1" applyBorder="1" applyAlignment="1">
      <alignment horizontal="left" vertical="center" wrapText="1"/>
    </xf>
    <xf numFmtId="4" fontId="18" fillId="0" borderId="28" xfId="0" applyNumberFormat="1" applyFont="1" applyFill="1" applyBorder="1" applyAlignment="1">
      <alignment vertical="center" wrapText="1"/>
    </xf>
    <xf numFmtId="4" fontId="33" fillId="0" borderId="24" xfId="0" applyNumberFormat="1" applyFont="1" applyFill="1" applyBorder="1" applyAlignment="1">
      <alignment vertical="center" wrapText="1"/>
    </xf>
    <xf numFmtId="4" fontId="33" fillId="0" borderId="7" xfId="0" applyNumberFormat="1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9" fillId="0" borderId="27" xfId="0" applyNumberFormat="1" applyFont="1" applyFill="1" applyBorder="1" applyAlignment="1">
      <alignment vertical="center" wrapText="1"/>
    </xf>
    <xf numFmtId="14" fontId="9" fillId="0" borderId="27" xfId="0" applyNumberFormat="1" applyFont="1" applyFill="1" applyBorder="1" applyAlignment="1">
      <alignment horizontal="center" vertical="center" wrapText="1"/>
    </xf>
    <xf numFmtId="165" fontId="9" fillId="0" borderId="27" xfId="0" applyNumberFormat="1" applyFont="1" applyFill="1" applyBorder="1" applyAlignment="1">
      <alignment horizontal="right" vertical="center" wrapText="1"/>
    </xf>
    <xf numFmtId="165" fontId="9" fillId="0" borderId="27" xfId="0" quotePrefix="1" applyNumberFormat="1" applyFont="1" applyFill="1" applyBorder="1" applyAlignment="1">
      <alignment horizontal="right" vertical="center" wrapText="1"/>
    </xf>
    <xf numFmtId="4" fontId="8" fillId="3" borderId="25" xfId="0" applyNumberFormat="1" applyFont="1" applyFill="1" applyBorder="1" applyAlignment="1">
      <alignment horizontal="center" vertical="center" wrapText="1"/>
    </xf>
    <xf numFmtId="10" fontId="2" fillId="2" borderId="0" xfId="0" applyNumberFormat="1" applyFont="1" applyFill="1" applyBorder="1" applyAlignment="1">
      <alignment horizontal="center" vertical="center"/>
    </xf>
    <xf numFmtId="10" fontId="6" fillId="2" borderId="0" xfId="0" applyNumberFormat="1" applyFont="1" applyFill="1" applyBorder="1" applyAlignment="1">
      <alignment horizontal="center" vertical="center"/>
    </xf>
    <xf numFmtId="4" fontId="8" fillId="0" borderId="2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20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/>
    <xf numFmtId="0" fontId="18" fillId="0" borderId="0" xfId="0" applyFont="1" applyBorder="1"/>
    <xf numFmtId="165" fontId="34" fillId="5" borderId="7" xfId="0" applyNumberFormat="1" applyFont="1" applyFill="1" applyBorder="1" applyAlignment="1">
      <alignment horizontal="right" vertical="center"/>
    </xf>
    <xf numFmtId="165" fontId="34" fillId="0" borderId="7" xfId="0" applyNumberFormat="1" applyFont="1" applyBorder="1" applyAlignment="1">
      <alignment horizontal="right" vertical="center"/>
    </xf>
    <xf numFmtId="165" fontId="34" fillId="6" borderId="7" xfId="0" applyNumberFormat="1" applyFont="1" applyFill="1" applyBorder="1" applyAlignment="1">
      <alignment horizontal="right" vertical="center"/>
    </xf>
    <xf numFmtId="165" fontId="34" fillId="0" borderId="13" xfId="0" applyNumberFormat="1" applyFont="1" applyBorder="1" applyAlignment="1">
      <alignment horizontal="right" vertical="center"/>
    </xf>
    <xf numFmtId="4" fontId="18" fillId="0" borderId="0" xfId="0" applyNumberFormat="1" applyFont="1" applyFill="1" applyBorder="1" applyAlignment="1">
      <alignment horizontal="center" vertical="center" wrapText="1"/>
    </xf>
    <xf numFmtId="4" fontId="18" fillId="3" borderId="0" xfId="0" applyNumberFormat="1" applyFont="1" applyFill="1" applyBorder="1" applyAlignment="1">
      <alignment horizontal="center" vertical="center" wrapText="1"/>
    </xf>
    <xf numFmtId="10" fontId="35" fillId="0" borderId="0" xfId="0" applyNumberFormat="1" applyFont="1" applyFill="1" applyBorder="1" applyAlignment="1">
      <alignment vertical="center" wrapText="1"/>
    </xf>
    <xf numFmtId="165" fontId="35" fillId="0" borderId="7" xfId="0" applyNumberFormat="1" applyFont="1" applyFill="1" applyBorder="1" applyAlignment="1">
      <alignment vertical="center" wrapText="1"/>
    </xf>
    <xf numFmtId="9" fontId="18" fillId="0" borderId="0" xfId="1" applyFont="1" applyBorder="1" applyAlignment="1">
      <alignment horizontal="center" vertical="center"/>
    </xf>
    <xf numFmtId="0" fontId="27" fillId="0" borderId="0" xfId="0" quotePrefix="1" applyFont="1" applyAlignment="1">
      <alignment horizontal="right"/>
    </xf>
    <xf numFmtId="165" fontId="27" fillId="0" borderId="0" xfId="0" applyNumberFormat="1" applyFont="1" applyAlignment="1">
      <alignment horizontal="center"/>
    </xf>
    <xf numFmtId="10" fontId="4" fillId="0" borderId="0" xfId="0" applyNumberFormat="1" applyFont="1"/>
    <xf numFmtId="4" fontId="8" fillId="0" borderId="25" xfId="0" applyNumberFormat="1" applyFont="1" applyFill="1" applyBorder="1" applyAlignment="1">
      <alignment horizontal="left" vertical="center" wrapText="1"/>
    </xf>
    <xf numFmtId="4" fontId="8" fillId="0" borderId="8" xfId="0" applyNumberFormat="1" applyFont="1" applyFill="1" applyBorder="1" applyAlignment="1">
      <alignment horizontal="left" vertical="center" wrapText="1"/>
    </xf>
    <xf numFmtId="4" fontId="8" fillId="0" borderId="28" xfId="0" applyNumberFormat="1" applyFont="1" applyFill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Fill="1" applyBorder="1" applyAlignment="1">
      <alignment vertical="center" wrapText="1"/>
    </xf>
    <xf numFmtId="0" fontId="9" fillId="0" borderId="32" xfId="0" applyNumberFormat="1" applyFont="1" applyFill="1" applyBorder="1" applyAlignment="1">
      <alignment vertical="center" wrapText="1"/>
    </xf>
    <xf numFmtId="0" fontId="8" fillId="0" borderId="32" xfId="0" applyNumberFormat="1" applyFont="1" applyFill="1" applyBorder="1" applyAlignment="1">
      <alignment horizontal="left" vertical="center" wrapText="1"/>
    </xf>
    <xf numFmtId="14" fontId="9" fillId="0" borderId="32" xfId="0" applyNumberFormat="1" applyFont="1" applyFill="1" applyBorder="1" applyAlignment="1">
      <alignment horizontal="center" vertical="center" wrapText="1"/>
    </xf>
    <xf numFmtId="0" fontId="9" fillId="0" borderId="32" xfId="0" applyNumberFormat="1" applyFont="1" applyFill="1" applyBorder="1" applyAlignment="1">
      <alignment horizontal="center" vertical="center" wrapText="1"/>
    </xf>
    <xf numFmtId="165" fontId="9" fillId="0" borderId="32" xfId="0" quotePrefix="1" applyNumberFormat="1" applyFont="1" applyFill="1" applyBorder="1" applyAlignment="1">
      <alignment horizontal="right" vertical="center" wrapText="1"/>
    </xf>
    <xf numFmtId="165" fontId="9" fillId="0" borderId="32" xfId="0" applyNumberFormat="1" applyFont="1" applyFill="1" applyBorder="1" applyAlignment="1">
      <alignment horizontal="right" vertical="center" wrapText="1"/>
    </xf>
    <xf numFmtId="10" fontId="9" fillId="2" borderId="32" xfId="1" applyNumberFormat="1" applyFont="1" applyFill="1" applyBorder="1" applyAlignment="1">
      <alignment horizontal="center" vertical="center"/>
    </xf>
    <xf numFmtId="44" fontId="8" fillId="0" borderId="32" xfId="1" applyNumberFormat="1" applyFont="1" applyFill="1" applyBorder="1" applyAlignment="1">
      <alignment horizontal="right" vertical="center"/>
    </xf>
    <xf numFmtId="10" fontId="9" fillId="2" borderId="7" xfId="1" applyNumberFormat="1" applyFont="1" applyFill="1" applyBorder="1" applyAlignment="1">
      <alignment horizontal="center" vertical="center"/>
    </xf>
    <xf numFmtId="44" fontId="8" fillId="0" borderId="7" xfId="1" applyNumberFormat="1" applyFont="1" applyFill="1" applyBorder="1" applyAlignment="1">
      <alignment horizontal="right" vertical="center"/>
    </xf>
    <xf numFmtId="165" fontId="9" fillId="0" borderId="12" xfId="0" applyNumberFormat="1" applyFont="1" applyBorder="1" applyAlignment="1">
      <alignment horizontal="right" vertical="center" wrapText="1"/>
    </xf>
    <xf numFmtId="4" fontId="8" fillId="0" borderId="12" xfId="0" applyNumberFormat="1" applyFont="1" applyBorder="1" applyAlignment="1">
      <alignment horizontal="right" vertical="center"/>
    </xf>
    <xf numFmtId="165" fontId="8" fillId="0" borderId="17" xfId="0" applyNumberFormat="1" applyFont="1" applyBorder="1" applyAlignment="1">
      <alignment horizontal="right" vertical="center"/>
    </xf>
    <xf numFmtId="0" fontId="16" fillId="0" borderId="0" xfId="0" applyFont="1"/>
    <xf numFmtId="165" fontId="8" fillId="0" borderId="24" xfId="0" applyNumberFormat="1" applyFont="1" applyFill="1" applyBorder="1" applyAlignment="1">
      <alignment horizontal="right" vertical="center" wrapText="1"/>
    </xf>
    <xf numFmtId="10" fontId="9" fillId="2" borderId="24" xfId="1" applyNumberFormat="1" applyFont="1" applyFill="1" applyBorder="1" applyAlignment="1">
      <alignment horizontal="center" vertical="center"/>
    </xf>
    <xf numFmtId="44" fontId="9" fillId="0" borderId="24" xfId="1" applyNumberFormat="1" applyFont="1" applyFill="1" applyBorder="1" applyAlignment="1">
      <alignment horizontal="right" vertical="center"/>
    </xf>
    <xf numFmtId="165" fontId="8" fillId="0" borderId="7" xfId="0" applyNumberFormat="1" applyFont="1" applyFill="1" applyBorder="1" applyAlignment="1">
      <alignment horizontal="right" vertical="center" wrapText="1"/>
    </xf>
    <xf numFmtId="44" fontId="9" fillId="0" borderId="7" xfId="1" applyNumberFormat="1" applyFont="1" applyFill="1" applyBorder="1" applyAlignment="1">
      <alignment horizontal="right" vertical="center"/>
    </xf>
    <xf numFmtId="10" fontId="9" fillId="0" borderId="7" xfId="1" applyNumberFormat="1" applyFont="1" applyFill="1" applyBorder="1" applyAlignment="1">
      <alignment horizontal="center" vertical="center"/>
    </xf>
    <xf numFmtId="165" fontId="8" fillId="0" borderId="27" xfId="0" applyNumberFormat="1" applyFont="1" applyFill="1" applyBorder="1" applyAlignment="1">
      <alignment horizontal="right" vertical="center" wrapText="1"/>
    </xf>
    <xf numFmtId="10" fontId="9" fillId="2" borderId="27" xfId="1" applyNumberFormat="1" applyFont="1" applyFill="1" applyBorder="1" applyAlignment="1">
      <alignment horizontal="center" vertical="center"/>
    </xf>
    <xf numFmtId="44" fontId="9" fillId="0" borderId="27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8" fillId="0" borderId="0" xfId="0" applyFont="1"/>
    <xf numFmtId="165" fontId="38" fillId="0" borderId="0" xfId="0" applyNumberFormat="1" applyFont="1"/>
    <xf numFmtId="167" fontId="4" fillId="0" borderId="0" xfId="0" applyNumberFormat="1" applyFont="1"/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35" fillId="0" borderId="18" xfId="0" applyNumberFormat="1" applyFont="1" applyFill="1" applyBorder="1" applyAlignment="1">
      <alignment vertical="center" wrapText="1"/>
    </xf>
    <xf numFmtId="166" fontId="36" fillId="0" borderId="17" xfId="1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9" fontId="4" fillId="0" borderId="0" xfId="1" applyFont="1"/>
    <xf numFmtId="44" fontId="4" fillId="0" borderId="0" xfId="0" applyNumberFormat="1" applyFont="1" applyAlignment="1">
      <alignment vertical="center"/>
    </xf>
    <xf numFmtId="8" fontId="11" fillId="0" borderId="7" xfId="1" applyNumberFormat="1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left" vertical="center"/>
    </xf>
    <xf numFmtId="0" fontId="9" fillId="0" borderId="39" xfId="0" applyFont="1" applyBorder="1"/>
    <xf numFmtId="0" fontId="9" fillId="0" borderId="34" xfId="0" applyFont="1" applyBorder="1"/>
    <xf numFmtId="0" fontId="9" fillId="0" borderId="40" xfId="0" applyFont="1" applyBorder="1"/>
    <xf numFmtId="0" fontId="8" fillId="0" borderId="14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4" borderId="36" xfId="0" applyFont="1" applyFill="1" applyBorder="1" applyAlignment="1">
      <alignment horizontal="left" vertical="center"/>
    </xf>
    <xf numFmtId="0" fontId="9" fillId="0" borderId="30" xfId="0" applyFont="1" applyBorder="1"/>
    <xf numFmtId="0" fontId="9" fillId="0" borderId="37" xfId="0" applyFont="1" applyBorder="1"/>
    <xf numFmtId="165" fontId="9" fillId="0" borderId="33" xfId="0" applyNumberFormat="1" applyFont="1" applyFill="1" applyBorder="1" applyAlignment="1">
      <alignment horizontal="center" vertical="center" wrapText="1"/>
    </xf>
    <xf numFmtId="165" fontId="9" fillId="0" borderId="34" xfId="0" applyNumberFormat="1" applyFont="1" applyFill="1" applyBorder="1" applyAlignment="1">
      <alignment horizontal="center" vertical="center" wrapText="1"/>
    </xf>
    <xf numFmtId="165" fontId="9" fillId="0" borderId="3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/>
    </xf>
    <xf numFmtId="0" fontId="37" fillId="7" borderId="14" xfId="0" applyFont="1" applyFill="1" applyBorder="1" applyAlignment="1">
      <alignment horizontal="left"/>
    </xf>
    <xf numFmtId="0" fontId="37" fillId="7" borderId="15" xfId="0" applyFont="1" applyFill="1" applyBorder="1" applyAlignment="1">
      <alignment horizontal="left"/>
    </xf>
    <xf numFmtId="0" fontId="37" fillId="7" borderId="21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14" fillId="2" borderId="0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wrapText="1" indent="1"/>
    </xf>
    <xf numFmtId="0" fontId="15" fillId="0" borderId="15" xfId="0" applyFont="1" applyBorder="1" applyAlignment="1">
      <alignment horizontal="left" vertical="center" indent="1"/>
    </xf>
    <xf numFmtId="0" fontId="15" fillId="0" borderId="21" xfId="0" applyFont="1" applyBorder="1" applyAlignment="1">
      <alignment horizontal="left" vertical="center" indent="1"/>
    </xf>
    <xf numFmtId="0" fontId="8" fillId="4" borderId="9" xfId="0" applyFont="1" applyFill="1" applyBorder="1" applyAlignment="1">
      <alignment horizontal="left" vertical="center"/>
    </xf>
    <xf numFmtId="0" fontId="9" fillId="0" borderId="10" xfId="0" applyFont="1" applyBorder="1"/>
    <xf numFmtId="0" fontId="9" fillId="0" borderId="11" xfId="0" applyFont="1" applyBorder="1"/>
    <xf numFmtId="0" fontId="27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165" fontId="9" fillId="0" borderId="29" xfId="0" applyNumberFormat="1" applyFont="1" applyFill="1" applyBorder="1" applyAlignment="1">
      <alignment horizontal="center" vertical="center" wrapText="1"/>
    </xf>
    <xf numFmtId="165" fontId="9" fillId="0" borderId="30" xfId="0" applyNumberFormat="1" applyFont="1" applyFill="1" applyBorder="1" applyAlignment="1">
      <alignment horizontal="center" vertical="center" wrapText="1"/>
    </xf>
    <xf numFmtId="165" fontId="9" fillId="0" borderId="22" xfId="0" applyNumberFormat="1" applyFont="1" applyFill="1" applyBorder="1" applyAlignment="1">
      <alignment horizontal="center" vertical="center" wrapText="1"/>
    </xf>
    <xf numFmtId="4" fontId="22" fillId="0" borderId="7" xfId="0" applyNumberFormat="1" applyFont="1" applyFill="1" applyBorder="1" applyAlignment="1">
      <alignment horizontal="center" vertical="center" wrapText="1"/>
    </xf>
    <xf numFmtId="4" fontId="22" fillId="0" borderId="8" xfId="0" applyNumberFormat="1" applyFont="1" applyFill="1" applyBorder="1" applyAlignment="1">
      <alignment horizontal="center" vertical="center" wrapText="1"/>
    </xf>
    <xf numFmtId="4" fontId="18" fillId="0" borderId="7" xfId="0" applyNumberFormat="1" applyFont="1" applyFill="1" applyBorder="1" applyAlignment="1">
      <alignment horizontal="center" vertical="center" wrapText="1"/>
    </xf>
    <xf numFmtId="4" fontId="18" fillId="0" borderId="8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225136</xdr:colOff>
      <xdr:row>5</xdr:row>
      <xdr:rowOff>727363</xdr:rowOff>
    </xdr:from>
    <xdr:to>
      <xdr:col>25</xdr:col>
      <xdr:colOff>1679863</xdr:colOff>
      <xdr:row>5</xdr:row>
      <xdr:rowOff>727363</xdr:rowOff>
    </xdr:to>
    <xdr:cxnSp macro="">
      <xdr:nvCxnSpPr>
        <xdr:cNvPr id="5" name="Łącznik prosty ze strzałką 4"/>
        <xdr:cNvCxnSpPr/>
      </xdr:nvCxnSpPr>
      <xdr:spPr>
        <a:xfrm flipH="1">
          <a:off x="20296909" y="3255818"/>
          <a:ext cx="1454727" cy="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138545</xdr:colOff>
      <xdr:row>9</xdr:row>
      <xdr:rowOff>831272</xdr:rowOff>
    </xdr:from>
    <xdr:to>
      <xdr:col>25</xdr:col>
      <xdr:colOff>658093</xdr:colOff>
      <xdr:row>9</xdr:row>
      <xdr:rowOff>831272</xdr:rowOff>
    </xdr:to>
    <xdr:cxnSp macro="">
      <xdr:nvCxnSpPr>
        <xdr:cNvPr id="10" name="Łącznik prosty ze strzałką 9"/>
        <xdr:cNvCxnSpPr/>
      </xdr:nvCxnSpPr>
      <xdr:spPr>
        <a:xfrm flipH="1">
          <a:off x="20210318" y="10789227"/>
          <a:ext cx="519548" cy="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640772</xdr:colOff>
      <xdr:row>5</xdr:row>
      <xdr:rowOff>744681</xdr:rowOff>
    </xdr:from>
    <xdr:to>
      <xdr:col>25</xdr:col>
      <xdr:colOff>1697182</xdr:colOff>
      <xdr:row>9</xdr:row>
      <xdr:rowOff>831272</xdr:rowOff>
    </xdr:to>
    <xdr:cxnSp macro="">
      <xdr:nvCxnSpPr>
        <xdr:cNvPr id="15" name="Łącznik prosty 14"/>
        <xdr:cNvCxnSpPr/>
      </xdr:nvCxnSpPr>
      <xdr:spPr>
        <a:xfrm flipH="1">
          <a:off x="20712545" y="3273136"/>
          <a:ext cx="1056410" cy="751609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"/>
  <sheetViews>
    <sheetView tabSelected="1" zoomScale="70" zoomScaleNormal="70" workbookViewId="0">
      <selection activeCell="Q23" sqref="Q23"/>
    </sheetView>
  </sheetViews>
  <sheetFormatPr defaultColWidth="9" defaultRowHeight="14.25"/>
  <cols>
    <col min="1" max="1" width="5" style="1" customWidth="1"/>
    <col min="2" max="2" width="48.5" style="1" customWidth="1"/>
    <col min="3" max="3" width="47.625" style="1" customWidth="1"/>
    <col min="4" max="4" width="24.75" style="1" hidden="1" customWidth="1"/>
    <col min="5" max="5" width="14.125" style="1" hidden="1" customWidth="1"/>
    <col min="6" max="6" width="13.75" style="1" hidden="1" customWidth="1"/>
    <col min="7" max="7" width="17.625" style="1" hidden="1" customWidth="1"/>
    <col min="8" max="8" width="15.75" style="1" hidden="1" customWidth="1"/>
    <col min="9" max="10" width="17.125" style="1" hidden="1" customWidth="1"/>
    <col min="11" max="11" width="10.375" style="1" hidden="1" customWidth="1"/>
    <col min="12" max="12" width="18.625" style="1" hidden="1" customWidth="1"/>
    <col min="13" max="13" width="20.375" style="1" customWidth="1"/>
    <col min="14" max="14" width="19" style="1" customWidth="1"/>
    <col min="15" max="15" width="18.625" style="1" customWidth="1"/>
    <col min="16" max="16" width="9" style="1"/>
    <col min="17" max="17" width="13.375" style="1" bestFit="1" customWidth="1"/>
    <col min="18" max="18" width="9" style="1"/>
    <col min="19" max="19" width="12.25" style="1" bestFit="1" customWidth="1"/>
    <col min="20" max="16384" width="9" style="1"/>
  </cols>
  <sheetData>
    <row r="1" spans="1:17" ht="77.25" customHeight="1">
      <c r="A1" s="238" t="s">
        <v>123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</row>
    <row r="2" spans="1:17" ht="20.25">
      <c r="A2" s="2"/>
      <c r="B2" s="3">
        <f>300000</f>
        <v>300000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7"/>
    </row>
    <row r="3" spans="1:17" ht="18.75" thickBot="1">
      <c r="A3" s="9"/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3"/>
      <c r="N3" s="14"/>
      <c r="O3" s="15"/>
    </row>
    <row r="4" spans="1:17" ht="63.75" thickBot="1">
      <c r="A4" s="16" t="s">
        <v>0</v>
      </c>
      <c r="B4" s="17" t="s">
        <v>1</v>
      </c>
      <c r="C4" s="237" t="s">
        <v>2</v>
      </c>
      <c r="D4" s="18" t="s">
        <v>3</v>
      </c>
      <c r="E4" s="18" t="s">
        <v>4</v>
      </c>
      <c r="F4" s="18" t="s">
        <v>23</v>
      </c>
      <c r="G4" s="18" t="s">
        <v>5</v>
      </c>
      <c r="H4" s="19" t="s">
        <v>6</v>
      </c>
      <c r="I4" s="19" t="s">
        <v>7</v>
      </c>
      <c r="J4" s="19" t="s">
        <v>8</v>
      </c>
      <c r="K4" s="20" t="s">
        <v>9</v>
      </c>
      <c r="L4" s="18" t="s">
        <v>10</v>
      </c>
      <c r="M4" s="18" t="s">
        <v>126</v>
      </c>
      <c r="N4" s="21" t="s">
        <v>24</v>
      </c>
      <c r="O4" s="18" t="s">
        <v>13</v>
      </c>
    </row>
    <row r="5" spans="1:17" ht="15.75">
      <c r="A5" s="239" t="s">
        <v>15</v>
      </c>
      <c r="B5" s="240"/>
      <c r="C5" s="241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2"/>
    </row>
    <row r="6" spans="1:17" ht="70.900000000000006" customHeight="1" thickBot="1">
      <c r="A6" s="23">
        <v>1</v>
      </c>
      <c r="B6" s="24" t="s">
        <v>124</v>
      </c>
      <c r="C6" s="25" t="s">
        <v>125</v>
      </c>
      <c r="D6" s="26" t="s">
        <v>20</v>
      </c>
      <c r="E6" s="27">
        <v>43749</v>
      </c>
      <c r="F6" s="28" t="s">
        <v>16</v>
      </c>
      <c r="G6" s="28" t="s">
        <v>22</v>
      </c>
      <c r="H6" s="29" t="s">
        <v>18</v>
      </c>
      <c r="I6" s="29" t="s">
        <v>18</v>
      </c>
      <c r="J6" s="29" t="s">
        <v>18</v>
      </c>
      <c r="K6" s="33" t="s">
        <v>17</v>
      </c>
      <c r="L6" s="29" t="s">
        <v>18</v>
      </c>
      <c r="M6" s="30">
        <v>329280.21000000002</v>
      </c>
      <c r="N6" s="31">
        <v>0.48499999999999999</v>
      </c>
      <c r="O6" s="236">
        <v>159700.9</v>
      </c>
      <c r="Q6" s="235"/>
    </row>
    <row r="7" spans="1:17" ht="39" customHeight="1" thickBot="1">
      <c r="A7" s="243" t="s">
        <v>21</v>
      </c>
      <c r="B7" s="244"/>
      <c r="C7" s="244"/>
      <c r="D7" s="245"/>
      <c r="E7" s="39"/>
      <c r="F7" s="39"/>
      <c r="G7" s="39"/>
      <c r="H7" s="39"/>
      <c r="I7" s="39"/>
      <c r="J7" s="39"/>
      <c r="K7" s="39"/>
      <c r="L7" s="39"/>
      <c r="M7" s="40">
        <f>SUM(M6:M6)</f>
        <v>329280.21000000002</v>
      </c>
      <c r="N7" s="41"/>
      <c r="O7" s="56">
        <f>SUM(O6:O6)</f>
        <v>159700.9</v>
      </c>
    </row>
    <row r="9" spans="1:17" ht="18">
      <c r="A9" s="246"/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</row>
    <row r="13" spans="1:17">
      <c r="M13" s="42"/>
    </row>
    <row r="15" spans="1:17">
      <c r="M15" s="42"/>
    </row>
  </sheetData>
  <mergeCells count="4">
    <mergeCell ref="A1:O1"/>
    <mergeCell ref="A5:O5"/>
    <mergeCell ref="A7:D7"/>
    <mergeCell ref="A9:O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7"/>
  <sheetViews>
    <sheetView zoomScale="40" zoomScaleNormal="40" workbookViewId="0">
      <selection activeCell="O8" sqref="O8"/>
    </sheetView>
  </sheetViews>
  <sheetFormatPr defaultColWidth="9" defaultRowHeight="14.25"/>
  <cols>
    <col min="1" max="1" width="5" style="1" customWidth="1"/>
    <col min="2" max="2" width="48.5" style="1" customWidth="1"/>
    <col min="3" max="3" width="47.625" style="1" customWidth="1"/>
    <col min="4" max="4" width="24.75" style="1" hidden="1" customWidth="1"/>
    <col min="5" max="5" width="14.125" style="1" hidden="1" customWidth="1"/>
    <col min="6" max="6" width="13.75" style="1" hidden="1" customWidth="1"/>
    <col min="7" max="7" width="17.625" style="1" hidden="1" customWidth="1"/>
    <col min="8" max="8" width="15.75" style="1" hidden="1" customWidth="1"/>
    <col min="9" max="10" width="17.125" style="1" hidden="1" customWidth="1"/>
    <col min="11" max="11" width="10.375" style="1" hidden="1" customWidth="1"/>
    <col min="12" max="12" width="18.625" style="1" hidden="1" customWidth="1"/>
    <col min="13" max="13" width="48.25" style="179" customWidth="1"/>
    <col min="14" max="16384" width="9" style="1"/>
  </cols>
  <sheetData>
    <row r="1" spans="1:13" ht="77.25" customHeight="1">
      <c r="A1" s="238" t="s">
        <v>92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</row>
    <row r="2" spans="1:13" ht="20.25">
      <c r="A2" s="2"/>
      <c r="B2" s="3">
        <f>800000-39.04-187.54</f>
        <v>799773.41999999993</v>
      </c>
      <c r="C2" s="4"/>
      <c r="D2" s="4"/>
      <c r="E2" s="4"/>
      <c r="F2" s="4"/>
      <c r="G2" s="4"/>
      <c r="H2" s="4"/>
      <c r="I2" s="4"/>
      <c r="J2" s="4"/>
      <c r="K2" s="4"/>
      <c r="L2" s="4"/>
      <c r="M2" s="176"/>
    </row>
    <row r="3" spans="1:13" ht="18.75" thickBot="1">
      <c r="A3" s="9"/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77"/>
    </row>
    <row r="4" spans="1:13" ht="63">
      <c r="A4" s="16" t="s">
        <v>0</v>
      </c>
      <c r="B4" s="17" t="s">
        <v>1</v>
      </c>
      <c r="C4" s="17" t="s">
        <v>2</v>
      </c>
      <c r="D4" s="18" t="s">
        <v>3</v>
      </c>
      <c r="E4" s="18" t="s">
        <v>4</v>
      </c>
      <c r="F4" s="18" t="s">
        <v>23</v>
      </c>
      <c r="G4" s="18" t="s">
        <v>5</v>
      </c>
      <c r="H4" s="19" t="s">
        <v>6</v>
      </c>
      <c r="I4" s="19" t="s">
        <v>7</v>
      </c>
      <c r="J4" s="19" t="s">
        <v>8</v>
      </c>
      <c r="K4" s="20" t="s">
        <v>9</v>
      </c>
      <c r="L4" s="18" t="s">
        <v>10</v>
      </c>
      <c r="M4" s="175" t="s">
        <v>14</v>
      </c>
    </row>
    <row r="5" spans="1:13" ht="101.25" customHeight="1">
      <c r="A5" s="23">
        <v>1</v>
      </c>
      <c r="B5" s="24" t="s">
        <v>31</v>
      </c>
      <c r="C5" s="25" t="s">
        <v>32</v>
      </c>
      <c r="D5" s="26" t="s">
        <v>20</v>
      </c>
      <c r="E5" s="27">
        <v>43791</v>
      </c>
      <c r="F5" s="28" t="s">
        <v>16</v>
      </c>
      <c r="G5" s="28" t="s">
        <v>29</v>
      </c>
      <c r="H5" s="29">
        <v>367927.1</v>
      </c>
      <c r="I5" s="29">
        <v>491072.06</v>
      </c>
      <c r="J5" s="29">
        <v>151147.66</v>
      </c>
      <c r="K5" s="33"/>
      <c r="L5" s="29" t="s">
        <v>30</v>
      </c>
      <c r="M5" s="178" t="s">
        <v>94</v>
      </c>
    </row>
    <row r="6" spans="1:13" ht="102.75" customHeight="1">
      <c r="A6" s="23">
        <v>2</v>
      </c>
      <c r="B6" s="24" t="s">
        <v>19</v>
      </c>
      <c r="C6" s="25" t="s">
        <v>25</v>
      </c>
      <c r="D6" s="26" t="s">
        <v>20</v>
      </c>
      <c r="E6" s="27">
        <v>43749</v>
      </c>
      <c r="F6" s="28" t="s">
        <v>16</v>
      </c>
      <c r="G6" s="28" t="s">
        <v>22</v>
      </c>
      <c r="H6" s="29" t="s">
        <v>18</v>
      </c>
      <c r="I6" s="29" t="s">
        <v>18</v>
      </c>
      <c r="J6" s="29" t="s">
        <v>18</v>
      </c>
      <c r="K6" s="33" t="s">
        <v>17</v>
      </c>
      <c r="L6" s="29" t="s">
        <v>18</v>
      </c>
      <c r="M6" s="38" t="s">
        <v>95</v>
      </c>
    </row>
    <row r="7" spans="1:13" ht="101.25" customHeight="1">
      <c r="A7" s="34">
        <v>3</v>
      </c>
      <c r="B7" s="24" t="s">
        <v>26</v>
      </c>
      <c r="C7" s="25" t="s">
        <v>117</v>
      </c>
      <c r="D7" s="26" t="s">
        <v>27</v>
      </c>
      <c r="E7" s="27">
        <v>43787</v>
      </c>
      <c r="F7" s="28" t="s">
        <v>28</v>
      </c>
      <c r="G7" s="28" t="s">
        <v>29</v>
      </c>
      <c r="H7" s="33" t="s">
        <v>17</v>
      </c>
      <c r="I7" s="33" t="s">
        <v>17</v>
      </c>
      <c r="J7" s="29">
        <f>98400*1.23</f>
        <v>121032</v>
      </c>
      <c r="K7" s="33"/>
      <c r="L7" s="29">
        <f>3000*1.23</f>
        <v>3690</v>
      </c>
      <c r="M7" s="178" t="s">
        <v>95</v>
      </c>
    </row>
    <row r="8" spans="1:13" ht="101.25" customHeight="1">
      <c r="A8" s="34">
        <v>4</v>
      </c>
      <c r="B8" s="24" t="s">
        <v>93</v>
      </c>
      <c r="C8" s="25" t="s">
        <v>34</v>
      </c>
      <c r="D8" s="26" t="s">
        <v>27</v>
      </c>
      <c r="E8" s="27">
        <v>43795</v>
      </c>
      <c r="F8" s="28" t="s">
        <v>35</v>
      </c>
      <c r="G8" s="28" t="s">
        <v>29</v>
      </c>
      <c r="H8" s="29"/>
      <c r="I8" s="29"/>
      <c r="J8" s="29"/>
      <c r="K8" s="33"/>
      <c r="L8" s="29"/>
      <c r="M8" s="178" t="s">
        <v>75</v>
      </c>
    </row>
    <row r="9" spans="1:13" ht="141" customHeight="1">
      <c r="A9" s="23">
        <v>5</v>
      </c>
      <c r="B9" s="24" t="s">
        <v>36</v>
      </c>
      <c r="C9" s="25" t="s">
        <v>37</v>
      </c>
      <c r="D9" s="26" t="s">
        <v>38</v>
      </c>
      <c r="E9" s="35">
        <v>43795</v>
      </c>
      <c r="F9" s="28" t="s">
        <v>16</v>
      </c>
      <c r="G9" s="28" t="s">
        <v>29</v>
      </c>
      <c r="H9" s="36"/>
      <c r="I9" s="37"/>
      <c r="J9" s="37"/>
      <c r="K9" s="37"/>
      <c r="L9" s="37"/>
      <c r="M9" s="38" t="s">
        <v>75</v>
      </c>
    </row>
    <row r="10" spans="1:13" ht="141" customHeight="1">
      <c r="A10" s="34">
        <v>6</v>
      </c>
      <c r="B10" s="51" t="s">
        <v>39</v>
      </c>
      <c r="C10" s="170" t="s">
        <v>52</v>
      </c>
      <c r="D10" s="26" t="s">
        <v>20</v>
      </c>
      <c r="E10" s="58">
        <v>43795</v>
      </c>
      <c r="F10" s="47" t="s">
        <v>28</v>
      </c>
      <c r="G10" s="47" t="s">
        <v>29</v>
      </c>
      <c r="H10" s="59"/>
      <c r="I10" s="60"/>
      <c r="J10" s="60"/>
      <c r="K10" s="60"/>
      <c r="L10" s="60"/>
      <c r="M10" s="61" t="s">
        <v>75</v>
      </c>
    </row>
    <row r="11" spans="1:13" ht="141" customHeight="1">
      <c r="A11" s="23">
        <v>7</v>
      </c>
      <c r="B11" s="51" t="s">
        <v>40</v>
      </c>
      <c r="C11" s="44" t="s">
        <v>41</v>
      </c>
      <c r="D11" s="26" t="s">
        <v>27</v>
      </c>
      <c r="E11" s="58">
        <v>43796</v>
      </c>
      <c r="F11" s="47"/>
      <c r="G11" s="47"/>
      <c r="H11" s="59"/>
      <c r="I11" s="60"/>
      <c r="J11" s="60"/>
      <c r="K11" s="60"/>
      <c r="L11" s="60"/>
      <c r="M11" s="61" t="s">
        <v>95</v>
      </c>
    </row>
    <row r="12" spans="1:13" ht="141" customHeight="1">
      <c r="A12" s="34">
        <v>8</v>
      </c>
      <c r="B12" s="51" t="s">
        <v>42</v>
      </c>
      <c r="C12" s="44" t="s">
        <v>91</v>
      </c>
      <c r="D12" s="26" t="s">
        <v>27</v>
      </c>
      <c r="E12" s="58">
        <v>43797</v>
      </c>
      <c r="F12" s="47"/>
      <c r="G12" s="47"/>
      <c r="H12" s="59"/>
      <c r="I12" s="60"/>
      <c r="J12" s="60"/>
      <c r="K12" s="60"/>
      <c r="L12" s="60"/>
      <c r="M12" s="61" t="s">
        <v>95</v>
      </c>
    </row>
    <row r="13" spans="1:13" ht="141" customHeight="1">
      <c r="A13" s="23">
        <v>9</v>
      </c>
      <c r="B13" s="51" t="s">
        <v>45</v>
      </c>
      <c r="C13" s="44" t="s">
        <v>90</v>
      </c>
      <c r="D13" s="26" t="s">
        <v>27</v>
      </c>
      <c r="E13" s="58">
        <v>43797</v>
      </c>
      <c r="F13" s="47"/>
      <c r="G13" s="47"/>
      <c r="H13" s="59"/>
      <c r="I13" s="60"/>
      <c r="J13" s="60"/>
      <c r="K13" s="60"/>
      <c r="L13" s="60"/>
      <c r="M13" s="61" t="s">
        <v>94</v>
      </c>
    </row>
    <row r="14" spans="1:13" ht="141" customHeight="1">
      <c r="A14" s="34">
        <v>10</v>
      </c>
      <c r="B14" s="51" t="s">
        <v>45</v>
      </c>
      <c r="C14" s="44" t="s">
        <v>89</v>
      </c>
      <c r="D14" s="45" t="s">
        <v>47</v>
      </c>
      <c r="E14" s="46">
        <v>43797</v>
      </c>
      <c r="F14" s="47"/>
      <c r="G14" s="47"/>
      <c r="H14" s="48"/>
      <c r="I14" s="48"/>
      <c r="J14" s="49"/>
      <c r="K14" s="49"/>
      <c r="L14" s="48"/>
      <c r="M14" s="61" t="s">
        <v>75</v>
      </c>
    </row>
    <row r="15" spans="1:13" ht="82.5" customHeight="1" thickBot="1">
      <c r="A15" s="111">
        <v>11</v>
      </c>
      <c r="B15" s="112" t="s">
        <v>48</v>
      </c>
      <c r="C15" s="171" t="s">
        <v>49</v>
      </c>
      <c r="D15" s="114" t="s">
        <v>20</v>
      </c>
      <c r="E15" s="172">
        <v>43798</v>
      </c>
      <c r="F15" s="117"/>
      <c r="G15" s="117"/>
      <c r="H15" s="173"/>
      <c r="I15" s="173"/>
      <c r="J15" s="174"/>
      <c r="K15" s="174"/>
      <c r="L15" s="173"/>
      <c r="M15" s="123" t="s">
        <v>96</v>
      </c>
    </row>
    <row r="17" spans="1:13" ht="18">
      <c r="A17" s="246"/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</row>
  </sheetData>
  <mergeCells count="2">
    <mergeCell ref="A1:M1"/>
    <mergeCell ref="A17:M17"/>
  </mergeCells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7"/>
  <sheetViews>
    <sheetView topLeftCell="B1" zoomScale="60" zoomScaleNormal="60" zoomScaleSheetLayoutView="40" workbookViewId="0">
      <selection activeCell="N7" sqref="N7"/>
    </sheetView>
  </sheetViews>
  <sheetFormatPr defaultColWidth="9" defaultRowHeight="14.25"/>
  <cols>
    <col min="1" max="1" width="5" style="1" customWidth="1"/>
    <col min="2" max="2" width="48.5" style="1" customWidth="1"/>
    <col min="3" max="3" width="47.625" style="1" customWidth="1"/>
    <col min="4" max="4" width="26.875" style="1" customWidth="1"/>
    <col min="5" max="5" width="17.625" style="1" customWidth="1"/>
    <col min="6" max="6" width="13.75" style="1" customWidth="1"/>
    <col min="7" max="7" width="17.625" style="1" customWidth="1"/>
    <col min="8" max="8" width="15.75" style="1" hidden="1" customWidth="1"/>
    <col min="9" max="10" width="17.125" style="1" hidden="1" customWidth="1"/>
    <col min="11" max="11" width="10.375" style="1" hidden="1" customWidth="1"/>
    <col min="12" max="12" width="18.625" style="1" hidden="1" customWidth="1"/>
    <col min="13" max="13" width="20.375" style="1" customWidth="1"/>
    <col min="14" max="14" width="19" style="1" customWidth="1"/>
    <col min="15" max="15" width="18.625" style="1" customWidth="1"/>
    <col min="16" max="16" width="39.875" style="1" customWidth="1"/>
    <col min="17" max="19" width="9" style="1"/>
    <col min="20" max="20" width="14.75" style="1" bestFit="1" customWidth="1"/>
    <col min="21" max="21" width="13" style="1" bestFit="1" customWidth="1"/>
    <col min="22" max="23" width="9" style="1"/>
    <col min="24" max="24" width="19.25" style="1" customWidth="1"/>
    <col min="25" max="16384" width="9" style="1"/>
  </cols>
  <sheetData>
    <row r="1" spans="1:24" ht="77.25" customHeight="1">
      <c r="A1" s="238" t="s">
        <v>111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</row>
    <row r="2" spans="1:24" ht="20.25">
      <c r="A2" s="2"/>
      <c r="B2" s="3">
        <f>800000-39.04-187.52</f>
        <v>799773.44</v>
      </c>
      <c r="C2" s="83"/>
      <c r="D2" s="69"/>
      <c r="E2" s="4"/>
      <c r="F2" s="4"/>
      <c r="G2" s="4"/>
      <c r="H2" s="4"/>
      <c r="I2" s="4"/>
      <c r="J2" s="4"/>
      <c r="K2" s="4"/>
      <c r="L2" s="4"/>
      <c r="M2" s="5"/>
      <c r="N2" s="6"/>
      <c r="O2" s="7"/>
      <c r="P2" s="8"/>
    </row>
    <row r="3" spans="1:24" ht="18.75" thickBot="1">
      <c r="A3" s="9"/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3"/>
      <c r="N3" s="14"/>
      <c r="O3" s="15"/>
      <c r="P3" s="15"/>
    </row>
    <row r="4" spans="1:24" ht="63">
      <c r="A4" s="16" t="s">
        <v>0</v>
      </c>
      <c r="B4" s="17" t="s">
        <v>1</v>
      </c>
      <c r="C4" s="17" t="s">
        <v>2</v>
      </c>
      <c r="D4" s="18" t="s">
        <v>109</v>
      </c>
      <c r="E4" s="18" t="s">
        <v>108</v>
      </c>
      <c r="F4" s="18" t="s">
        <v>23</v>
      </c>
      <c r="G4" s="18" t="s">
        <v>5</v>
      </c>
      <c r="H4" s="20" t="s">
        <v>6</v>
      </c>
      <c r="I4" s="20" t="s">
        <v>7</v>
      </c>
      <c r="J4" s="20" t="s">
        <v>8</v>
      </c>
      <c r="K4" s="20" t="s">
        <v>9</v>
      </c>
      <c r="L4" s="18" t="s">
        <v>10</v>
      </c>
      <c r="M4" s="18" t="s">
        <v>11</v>
      </c>
      <c r="N4" s="21" t="s">
        <v>24</v>
      </c>
      <c r="O4" s="18" t="s">
        <v>110</v>
      </c>
      <c r="P4" s="22" t="s">
        <v>14</v>
      </c>
    </row>
    <row r="5" spans="1:24" ht="15.75">
      <c r="A5" s="248" t="s">
        <v>15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50"/>
    </row>
    <row r="6" spans="1:24" ht="105" customHeight="1">
      <c r="A6" s="198">
        <v>1</v>
      </c>
      <c r="B6" s="199" t="s">
        <v>19</v>
      </c>
      <c r="C6" s="200" t="s">
        <v>25</v>
      </c>
      <c r="D6" s="201" t="s">
        <v>20</v>
      </c>
      <c r="E6" s="202">
        <v>43749</v>
      </c>
      <c r="F6" s="203" t="s">
        <v>16</v>
      </c>
      <c r="G6" s="203" t="s">
        <v>22</v>
      </c>
      <c r="H6" s="251">
        <v>310180.3</v>
      </c>
      <c r="I6" s="252"/>
      <c r="J6" s="253"/>
      <c r="K6" s="204" t="s">
        <v>17</v>
      </c>
      <c r="L6" s="205">
        <v>50000</v>
      </c>
      <c r="M6" s="205">
        <f>H6+L6</f>
        <v>360180.3</v>
      </c>
      <c r="N6" s="206">
        <v>0.35439999999999999</v>
      </c>
      <c r="O6" s="207">
        <f>M6*N6</f>
        <v>127647.89831999999</v>
      </c>
      <c r="P6" s="53"/>
    </row>
    <row r="7" spans="1:24" ht="61.15" customHeight="1">
      <c r="A7" s="34">
        <v>2</v>
      </c>
      <c r="B7" s="24" t="s">
        <v>103</v>
      </c>
      <c r="C7" s="25" t="s">
        <v>117</v>
      </c>
      <c r="D7" s="26" t="s">
        <v>27</v>
      </c>
      <c r="E7" s="27">
        <v>43787</v>
      </c>
      <c r="F7" s="28" t="s">
        <v>28</v>
      </c>
      <c r="G7" s="28" t="s">
        <v>22</v>
      </c>
      <c r="H7" s="33" t="s">
        <v>17</v>
      </c>
      <c r="I7" s="33" t="s">
        <v>17</v>
      </c>
      <c r="J7" s="29">
        <f>93667.16*1.23</f>
        <v>115210.60680000001</v>
      </c>
      <c r="K7" s="33"/>
      <c r="L7" s="29">
        <f>3000*1.23+9400*1.23</f>
        <v>15252</v>
      </c>
      <c r="M7" s="29">
        <f>J7+L7</f>
        <v>130462.60680000001</v>
      </c>
      <c r="N7" s="208">
        <v>0.35439999999999999</v>
      </c>
      <c r="O7" s="209">
        <f t="shared" ref="O7:O11" si="0">M7*N7</f>
        <v>46235.947849920005</v>
      </c>
      <c r="P7" s="53"/>
    </row>
    <row r="8" spans="1:24" ht="107.45" customHeight="1">
      <c r="A8" s="23">
        <v>3</v>
      </c>
      <c r="B8" s="24" t="s">
        <v>105</v>
      </c>
      <c r="C8" s="25" t="s">
        <v>32</v>
      </c>
      <c r="D8" s="26" t="s">
        <v>20</v>
      </c>
      <c r="E8" s="27">
        <v>43791</v>
      </c>
      <c r="F8" s="28" t="s">
        <v>16</v>
      </c>
      <c r="G8" s="28" t="s">
        <v>22</v>
      </c>
      <c r="H8" s="29">
        <v>367927.1</v>
      </c>
      <c r="I8" s="29">
        <v>491072.06</v>
      </c>
      <c r="J8" s="29">
        <v>151147.66</v>
      </c>
      <c r="K8" s="33"/>
      <c r="L8" s="29" t="s">
        <v>30</v>
      </c>
      <c r="M8" s="29">
        <v>1242480.5900000001</v>
      </c>
      <c r="N8" s="208">
        <v>0.35439999999999999</v>
      </c>
      <c r="O8" s="209">
        <f t="shared" si="0"/>
        <v>440335.12109600002</v>
      </c>
      <c r="P8" s="53" t="s">
        <v>122</v>
      </c>
      <c r="T8" s="42"/>
      <c r="U8" s="42"/>
      <c r="W8" s="194"/>
      <c r="X8" s="42"/>
    </row>
    <row r="9" spans="1:24" ht="60" customHeight="1">
      <c r="A9" s="23">
        <v>4</v>
      </c>
      <c r="B9" s="51" t="s">
        <v>106</v>
      </c>
      <c r="C9" s="44" t="s">
        <v>67</v>
      </c>
      <c r="D9" s="26" t="s">
        <v>27</v>
      </c>
      <c r="E9" s="58">
        <v>43796</v>
      </c>
      <c r="F9" s="47" t="s">
        <v>16</v>
      </c>
      <c r="G9" s="47" t="s">
        <v>22</v>
      </c>
      <c r="H9" s="59"/>
      <c r="I9" s="60"/>
      <c r="J9" s="60">
        <v>359643.35</v>
      </c>
      <c r="K9" s="60"/>
      <c r="L9" s="60"/>
      <c r="M9" s="29">
        <f>J9</f>
        <v>359643.35</v>
      </c>
      <c r="N9" s="208">
        <v>0.35439999999999999</v>
      </c>
      <c r="O9" s="209">
        <f t="shared" si="0"/>
        <v>127457.60323999998</v>
      </c>
      <c r="P9" s="38"/>
    </row>
    <row r="10" spans="1:24" s="86" customFormat="1" ht="62.45" customHeight="1">
      <c r="A10" s="34">
        <v>5</v>
      </c>
      <c r="B10" s="51" t="s">
        <v>104</v>
      </c>
      <c r="C10" s="44" t="s">
        <v>88</v>
      </c>
      <c r="D10" s="26" t="s">
        <v>27</v>
      </c>
      <c r="E10" s="58">
        <v>43797</v>
      </c>
      <c r="F10" s="47" t="s">
        <v>16</v>
      </c>
      <c r="G10" s="47" t="s">
        <v>22</v>
      </c>
      <c r="H10" s="59"/>
      <c r="I10" s="60"/>
      <c r="J10" s="60">
        <f>112339.28*1.23</f>
        <v>138177.3144</v>
      </c>
      <c r="K10" s="60"/>
      <c r="L10" s="60"/>
      <c r="M10" s="29">
        <f>J10</f>
        <v>138177.3144</v>
      </c>
      <c r="N10" s="208">
        <v>0.35439999999999999</v>
      </c>
      <c r="O10" s="209">
        <f t="shared" si="0"/>
        <v>48970.040223360003</v>
      </c>
      <c r="P10" s="53"/>
    </row>
    <row r="11" spans="1:24" ht="62.45" customHeight="1" thickBot="1">
      <c r="A11" s="23">
        <v>6</v>
      </c>
      <c r="B11" s="51" t="s">
        <v>107</v>
      </c>
      <c r="C11" s="44" t="s">
        <v>90</v>
      </c>
      <c r="D11" s="26" t="s">
        <v>27</v>
      </c>
      <c r="E11" s="58">
        <v>43797</v>
      </c>
      <c r="F11" s="47" t="s">
        <v>16</v>
      </c>
      <c r="G11" s="47" t="s">
        <v>22</v>
      </c>
      <c r="H11" s="59"/>
      <c r="I11" s="60"/>
      <c r="J11" s="60">
        <v>23705.200000000001</v>
      </c>
      <c r="K11" s="60"/>
      <c r="L11" s="60">
        <v>2000</v>
      </c>
      <c r="M11" s="29">
        <f>J11+L11</f>
        <v>25705.200000000001</v>
      </c>
      <c r="N11" s="208">
        <v>0.35439999999999999</v>
      </c>
      <c r="O11" s="209">
        <f t="shared" si="0"/>
        <v>9109.9228800000001</v>
      </c>
      <c r="P11" s="61"/>
    </row>
    <row r="12" spans="1:24" ht="39" customHeight="1" thickBot="1">
      <c r="A12" s="254" t="s">
        <v>21</v>
      </c>
      <c r="B12" s="255"/>
      <c r="C12" s="255"/>
      <c r="D12" s="255"/>
      <c r="E12" s="255"/>
      <c r="F12" s="255"/>
      <c r="G12" s="256"/>
      <c r="H12" s="39"/>
      <c r="I12" s="39"/>
      <c r="J12" s="39"/>
      <c r="K12" s="39"/>
      <c r="L12" s="39"/>
      <c r="M12" s="210">
        <f>SUM(M6:M11)</f>
        <v>2256649.3612000002</v>
      </c>
      <c r="N12" s="211"/>
      <c r="O12" s="212">
        <f>SUM(O6:O11)</f>
        <v>799756.5336092799</v>
      </c>
      <c r="P12" s="57"/>
      <c r="U12" s="227">
        <f>O12/B2</f>
        <v>0.99997886102504219</v>
      </c>
    </row>
    <row r="13" spans="1:24" ht="15.75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</row>
    <row r="14" spans="1:24" ht="16.5" thickBot="1">
      <c r="A14" s="257" t="s">
        <v>61</v>
      </c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9"/>
    </row>
    <row r="15" spans="1:24" ht="68.45" customHeight="1">
      <c r="A15" s="99">
        <v>1</v>
      </c>
      <c r="B15" s="100" t="s">
        <v>45</v>
      </c>
      <c r="C15" s="101" t="s">
        <v>46</v>
      </c>
      <c r="D15" s="102" t="s">
        <v>47</v>
      </c>
      <c r="E15" s="103">
        <v>43797</v>
      </c>
      <c r="F15" s="104"/>
      <c r="G15" s="104"/>
      <c r="H15" s="105"/>
      <c r="I15" s="105"/>
      <c r="J15" s="106"/>
      <c r="K15" s="106"/>
      <c r="L15" s="105"/>
      <c r="M15" s="214">
        <v>9949.23</v>
      </c>
      <c r="N15" s="215"/>
      <c r="O15" s="216">
        <f>IF(M15*N15&lt;159101.73,M15*N15,159101.73)</f>
        <v>0</v>
      </c>
      <c r="P15" s="195" t="s">
        <v>102</v>
      </c>
    </row>
    <row r="16" spans="1:24" ht="52.9" customHeight="1">
      <c r="A16" s="34">
        <v>2</v>
      </c>
      <c r="B16" s="24" t="s">
        <v>93</v>
      </c>
      <c r="C16" s="25" t="s">
        <v>34</v>
      </c>
      <c r="D16" s="26" t="s">
        <v>27</v>
      </c>
      <c r="E16" s="27">
        <v>43795</v>
      </c>
      <c r="F16" s="28" t="s">
        <v>35</v>
      </c>
      <c r="G16" s="28" t="s">
        <v>29</v>
      </c>
      <c r="H16" s="29"/>
      <c r="I16" s="29"/>
      <c r="J16" s="29"/>
      <c r="K16" s="33"/>
      <c r="L16" s="29"/>
      <c r="M16" s="217">
        <v>369392.5</v>
      </c>
      <c r="N16" s="208"/>
      <c r="O16" s="218">
        <f t="shared" ref="O16:O18" si="1">IF(M16*N16&lt;159101.73,M16*N16,159101.73)</f>
        <v>0</v>
      </c>
      <c r="P16" s="196" t="s">
        <v>101</v>
      </c>
    </row>
    <row r="17" spans="1:16" ht="87.6" customHeight="1">
      <c r="A17" s="23">
        <v>3</v>
      </c>
      <c r="B17" s="24" t="s">
        <v>36</v>
      </c>
      <c r="C17" s="25" t="s">
        <v>37</v>
      </c>
      <c r="D17" s="26" t="s">
        <v>38</v>
      </c>
      <c r="E17" s="35">
        <v>43795</v>
      </c>
      <c r="F17" s="28" t="s">
        <v>16</v>
      </c>
      <c r="G17" s="28" t="s">
        <v>29</v>
      </c>
      <c r="H17" s="36"/>
      <c r="I17" s="37"/>
      <c r="J17" s="37"/>
      <c r="K17" s="37"/>
      <c r="L17" s="37"/>
      <c r="M17" s="217">
        <v>398000</v>
      </c>
      <c r="N17" s="208"/>
      <c r="O17" s="218">
        <f t="shared" si="1"/>
        <v>0</v>
      </c>
      <c r="P17" s="196" t="s">
        <v>101</v>
      </c>
    </row>
    <row r="18" spans="1:16" s="86" customFormat="1" ht="117.6" customHeight="1">
      <c r="A18" s="34">
        <v>4</v>
      </c>
      <c r="B18" s="51" t="s">
        <v>48</v>
      </c>
      <c r="C18" s="25" t="s">
        <v>49</v>
      </c>
      <c r="D18" s="26" t="s">
        <v>20</v>
      </c>
      <c r="E18" s="46">
        <v>43798</v>
      </c>
      <c r="F18" s="47" t="s">
        <v>16</v>
      </c>
      <c r="G18" s="47" t="s">
        <v>29</v>
      </c>
      <c r="H18" s="48"/>
      <c r="I18" s="48"/>
      <c r="J18" s="49"/>
      <c r="K18" s="49"/>
      <c r="L18" s="48"/>
      <c r="M18" s="217">
        <v>25000</v>
      </c>
      <c r="N18" s="219"/>
      <c r="O18" s="218">
        <f t="shared" si="1"/>
        <v>0</v>
      </c>
      <c r="P18" s="55" t="s">
        <v>101</v>
      </c>
    </row>
    <row r="19" spans="1:16" ht="118.15" customHeight="1" thickBot="1">
      <c r="A19" s="111">
        <v>5</v>
      </c>
      <c r="B19" s="112" t="s">
        <v>39</v>
      </c>
      <c r="C19" s="113" t="s">
        <v>52</v>
      </c>
      <c r="D19" s="114" t="s">
        <v>20</v>
      </c>
      <c r="E19" s="115">
        <v>43795</v>
      </c>
      <c r="F19" s="117" t="s">
        <v>35</v>
      </c>
      <c r="G19" s="117" t="s">
        <v>29</v>
      </c>
      <c r="H19" s="118"/>
      <c r="I19" s="119"/>
      <c r="J19" s="119"/>
      <c r="K19" s="119"/>
      <c r="L19" s="119"/>
      <c r="M19" s="220">
        <v>236046.46</v>
      </c>
      <c r="N19" s="221"/>
      <c r="O19" s="222">
        <f>IF(M19*N19&lt;159101.73,M19*N19,159101.73)</f>
        <v>0</v>
      </c>
      <c r="P19" s="197" t="s">
        <v>101</v>
      </c>
    </row>
    <row r="20" spans="1:16">
      <c r="M20" s="42"/>
    </row>
    <row r="22" spans="1:16" ht="18">
      <c r="C22" s="233" t="s">
        <v>112</v>
      </c>
      <c r="D22" s="225"/>
      <c r="E22" s="225"/>
      <c r="F22" s="225"/>
      <c r="G22" s="225"/>
      <c r="H22" s="225"/>
      <c r="I22" s="225"/>
      <c r="J22" s="225"/>
      <c r="K22" s="225"/>
      <c r="L22" s="225"/>
      <c r="M22" s="226"/>
      <c r="N22" s="260" t="s">
        <v>114</v>
      </c>
      <c r="O22" s="260"/>
    </row>
    <row r="23" spans="1:16" ht="105" customHeight="1">
      <c r="C23" s="232" t="s">
        <v>116</v>
      </c>
      <c r="N23" s="247" t="s">
        <v>116</v>
      </c>
      <c r="O23" s="247"/>
    </row>
    <row r="24" spans="1:16">
      <c r="C24" s="232" t="s">
        <v>113</v>
      </c>
      <c r="N24" s="247" t="s">
        <v>115</v>
      </c>
      <c r="O24" s="247"/>
    </row>
    <row r="25" spans="1:16" ht="18">
      <c r="L25" s="70"/>
      <c r="M25" s="70"/>
      <c r="N25" s="70"/>
      <c r="O25" s="70"/>
      <c r="P25" s="70"/>
    </row>
    <row r="26" spans="1:16" ht="18">
      <c r="L26" s="70"/>
      <c r="M26" s="70"/>
      <c r="N26" s="70"/>
      <c r="O26" s="71"/>
      <c r="P26" s="70"/>
    </row>
    <row r="27" spans="1:16" ht="18">
      <c r="L27" s="70"/>
      <c r="M27" s="70"/>
      <c r="N27" s="71"/>
      <c r="O27" s="71"/>
      <c r="P27" s="70"/>
    </row>
    <row r="28" spans="1:16" ht="18">
      <c r="L28" s="70"/>
      <c r="M28" s="70"/>
      <c r="N28" s="70"/>
      <c r="O28" s="71"/>
      <c r="P28" s="70"/>
    </row>
    <row r="29" spans="1:16" ht="18">
      <c r="L29" s="70"/>
      <c r="M29" s="70"/>
      <c r="N29" s="70"/>
      <c r="O29" s="70"/>
      <c r="P29" s="70"/>
    </row>
    <row r="30" spans="1:16" ht="18">
      <c r="L30" s="70"/>
      <c r="M30" s="70"/>
      <c r="N30" s="70"/>
      <c r="O30" s="70"/>
      <c r="P30" s="70"/>
    </row>
    <row r="31" spans="1:16" ht="18">
      <c r="L31" s="70"/>
      <c r="M31" s="70"/>
      <c r="N31" s="70"/>
      <c r="O31" s="70"/>
      <c r="P31" s="70"/>
    </row>
    <row r="32" spans="1:16" ht="18">
      <c r="L32" s="70"/>
      <c r="M32" s="70"/>
      <c r="N32" s="70"/>
      <c r="O32" s="70"/>
      <c r="P32" s="70"/>
    </row>
    <row r="33" spans="12:16" ht="18">
      <c r="L33" s="70"/>
      <c r="M33" s="70"/>
      <c r="N33" s="70"/>
      <c r="O33" s="70"/>
      <c r="P33" s="70"/>
    </row>
    <row r="34" spans="12:16" ht="18">
      <c r="L34" s="70"/>
      <c r="M34" s="70"/>
      <c r="N34" s="70"/>
      <c r="O34" s="70"/>
      <c r="P34" s="70"/>
    </row>
    <row r="35" spans="12:16" ht="18">
      <c r="L35" s="70"/>
      <c r="M35" s="70"/>
      <c r="N35" s="70"/>
      <c r="O35" s="70"/>
      <c r="P35" s="70"/>
    </row>
    <row r="36" spans="12:16" ht="18">
      <c r="L36" s="70"/>
      <c r="M36" s="70"/>
      <c r="N36" s="70"/>
      <c r="O36" s="70"/>
      <c r="P36" s="70"/>
    </row>
    <row r="37" spans="12:16" ht="18">
      <c r="L37" s="70"/>
      <c r="M37" s="70"/>
      <c r="N37" s="70"/>
      <c r="O37" s="70"/>
      <c r="P37" s="70"/>
    </row>
    <row r="38" spans="12:16" ht="18">
      <c r="L38" s="70"/>
      <c r="M38" s="70"/>
      <c r="N38" s="70"/>
      <c r="O38" s="70"/>
      <c r="P38" s="70"/>
    </row>
    <row r="39" spans="12:16" ht="18">
      <c r="L39" s="70"/>
      <c r="M39" s="70"/>
      <c r="N39" s="70"/>
      <c r="O39" s="70"/>
      <c r="P39" s="70"/>
    </row>
    <row r="40" spans="12:16" ht="18">
      <c r="L40" s="70"/>
      <c r="M40" s="70"/>
      <c r="N40" s="70"/>
      <c r="O40" s="70"/>
      <c r="P40" s="70"/>
    </row>
    <row r="41" spans="12:16" ht="18">
      <c r="L41" s="70"/>
      <c r="M41" s="70"/>
      <c r="O41" s="70"/>
      <c r="P41" s="70"/>
    </row>
    <row r="42" spans="12:16" ht="18">
      <c r="L42" s="70"/>
      <c r="M42" s="70"/>
      <c r="N42" s="70"/>
      <c r="O42" s="70"/>
      <c r="P42" s="70"/>
    </row>
    <row r="43" spans="12:16" ht="18">
      <c r="L43" s="70"/>
      <c r="M43" s="70"/>
      <c r="N43" s="70"/>
      <c r="O43" s="70"/>
      <c r="P43" s="70"/>
    </row>
    <row r="44" spans="12:16" ht="18">
      <c r="L44" s="70"/>
      <c r="M44" s="70"/>
      <c r="N44" s="70"/>
      <c r="O44" s="70"/>
      <c r="P44" s="70"/>
    </row>
    <row r="45" spans="12:16" ht="18">
      <c r="L45" s="70"/>
      <c r="M45" s="70"/>
      <c r="N45" s="70"/>
      <c r="O45" s="70"/>
      <c r="P45" s="70"/>
    </row>
    <row r="46" spans="12:16" ht="18">
      <c r="L46" s="70"/>
      <c r="M46" s="70"/>
      <c r="N46" s="70"/>
      <c r="O46" s="70"/>
      <c r="P46" s="70"/>
    </row>
    <row r="47" spans="12:16" ht="18">
      <c r="L47" s="70"/>
      <c r="M47" s="70"/>
      <c r="N47" s="70"/>
      <c r="O47" s="70"/>
      <c r="P47" s="70"/>
    </row>
    <row r="48" spans="12:16" ht="18">
      <c r="L48" s="70"/>
      <c r="M48" s="70"/>
      <c r="N48" s="70"/>
      <c r="O48" s="70"/>
      <c r="P48" s="70"/>
    </row>
    <row r="49" spans="12:16" ht="18">
      <c r="L49" s="70"/>
      <c r="M49" s="70"/>
      <c r="N49" s="70"/>
      <c r="O49" s="70"/>
      <c r="P49" s="70"/>
    </row>
    <row r="50" spans="12:16" ht="18">
      <c r="L50" s="70"/>
      <c r="M50" s="70"/>
      <c r="N50" s="70"/>
      <c r="O50" s="70"/>
      <c r="P50" s="70"/>
    </row>
    <row r="51" spans="12:16" ht="18">
      <c r="L51" s="70"/>
      <c r="M51" s="70"/>
      <c r="N51" s="70"/>
      <c r="O51" s="70"/>
      <c r="P51" s="70"/>
    </row>
    <row r="52" spans="12:16" ht="18">
      <c r="L52" s="70"/>
      <c r="M52" s="70"/>
      <c r="N52" s="70"/>
      <c r="O52" s="70"/>
      <c r="P52" s="70"/>
    </row>
    <row r="53" spans="12:16" ht="18">
      <c r="L53" s="70"/>
      <c r="M53" s="70"/>
      <c r="N53" s="70"/>
      <c r="O53" s="70"/>
      <c r="P53" s="70"/>
    </row>
    <row r="54" spans="12:16" ht="18">
      <c r="L54" s="70"/>
      <c r="M54" s="70"/>
      <c r="N54" s="70"/>
      <c r="O54" s="70"/>
      <c r="P54" s="70"/>
    </row>
    <row r="55" spans="12:16" ht="18">
      <c r="L55" s="70"/>
      <c r="M55" s="70"/>
      <c r="N55" s="70"/>
      <c r="O55" s="70"/>
      <c r="P55" s="70"/>
    </row>
    <row r="56" spans="12:16" ht="18">
      <c r="L56" s="70"/>
      <c r="M56" s="70"/>
      <c r="N56" s="70"/>
      <c r="O56" s="70"/>
      <c r="P56" s="70"/>
    </row>
    <row r="57" spans="12:16" ht="18">
      <c r="L57" s="70"/>
      <c r="M57" s="70"/>
      <c r="N57" s="70"/>
      <c r="O57" s="70"/>
      <c r="P57" s="70"/>
    </row>
    <row r="58" spans="12:16" ht="18">
      <c r="L58" s="70"/>
      <c r="M58" s="70"/>
      <c r="N58" s="70"/>
      <c r="O58" s="70"/>
      <c r="P58" s="70"/>
    </row>
    <row r="59" spans="12:16" ht="18">
      <c r="L59" s="70"/>
      <c r="M59" s="70"/>
      <c r="N59" s="70"/>
      <c r="O59" s="70"/>
      <c r="P59" s="70"/>
    </row>
    <row r="60" spans="12:16" ht="18">
      <c r="L60" s="70"/>
      <c r="M60" s="70"/>
      <c r="N60" s="70"/>
      <c r="O60" s="70"/>
      <c r="P60" s="70"/>
    </row>
    <row r="61" spans="12:16" ht="18">
      <c r="L61" s="70"/>
      <c r="M61" s="70"/>
      <c r="N61" s="70"/>
      <c r="O61" s="70"/>
      <c r="P61" s="70"/>
    </row>
    <row r="62" spans="12:16" ht="18">
      <c r="L62" s="70"/>
      <c r="M62" s="70"/>
      <c r="N62" s="70"/>
      <c r="O62" s="70"/>
      <c r="P62" s="70"/>
    </row>
    <row r="63" spans="12:16" ht="18">
      <c r="L63" s="70"/>
      <c r="M63" s="70"/>
      <c r="N63" s="70"/>
      <c r="O63" s="70"/>
      <c r="P63" s="70"/>
    </row>
    <row r="64" spans="12:16" ht="18">
      <c r="L64" s="70"/>
      <c r="M64" s="70"/>
      <c r="N64" s="70"/>
      <c r="O64" s="70"/>
      <c r="P64" s="70"/>
    </row>
    <row r="65" spans="12:16" ht="18">
      <c r="L65" s="70"/>
      <c r="M65" s="70"/>
      <c r="N65" s="70"/>
      <c r="O65" s="70"/>
      <c r="P65" s="70"/>
    </row>
    <row r="66" spans="12:16" ht="18">
      <c r="L66" s="70"/>
      <c r="M66" s="70"/>
      <c r="N66" s="70"/>
      <c r="O66" s="70"/>
      <c r="P66" s="70"/>
    </row>
    <row r="67" spans="12:16" ht="18">
      <c r="L67" s="70"/>
      <c r="M67" s="70"/>
      <c r="N67" s="70"/>
      <c r="O67" s="70"/>
      <c r="P67" s="70"/>
    </row>
  </sheetData>
  <mergeCells count="8">
    <mergeCell ref="N23:O23"/>
    <mergeCell ref="N24:O24"/>
    <mergeCell ref="A1:P1"/>
    <mergeCell ref="A5:P5"/>
    <mergeCell ref="H6:J6"/>
    <mergeCell ref="A12:G12"/>
    <mergeCell ref="A14:P14"/>
    <mergeCell ref="N22:O22"/>
  </mergeCells>
  <printOptions horizontalCentered="1"/>
  <pageMargins left="0.43307086614173229" right="0.35433070866141736" top="0.43307086614173229" bottom="0.43307086614173229" header="0.31496062992125984" footer="0.31496062992125984"/>
  <pageSetup paperSize="8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7"/>
  <sheetViews>
    <sheetView topLeftCell="A4" zoomScale="55" zoomScaleNormal="55" zoomScaleSheetLayoutView="40" workbookViewId="0">
      <selection activeCell="N9" sqref="N9"/>
    </sheetView>
  </sheetViews>
  <sheetFormatPr defaultColWidth="9" defaultRowHeight="14.25"/>
  <cols>
    <col min="1" max="1" width="5" style="1" customWidth="1"/>
    <col min="2" max="2" width="48.5" style="1" customWidth="1"/>
    <col min="3" max="3" width="47.625" style="1" customWidth="1"/>
    <col min="4" max="4" width="26.875" style="1" customWidth="1"/>
    <col min="5" max="5" width="17.625" style="1" customWidth="1"/>
    <col min="6" max="6" width="13.75" style="1" customWidth="1"/>
    <col min="7" max="7" width="17.625" style="1" customWidth="1"/>
    <col min="8" max="8" width="15.75" style="1" hidden="1" customWidth="1"/>
    <col min="9" max="10" width="17.125" style="1" hidden="1" customWidth="1"/>
    <col min="11" max="11" width="10.375" style="1" hidden="1" customWidth="1"/>
    <col min="12" max="12" width="18.625" style="1" hidden="1" customWidth="1"/>
    <col min="13" max="13" width="20.375" style="1" customWidth="1"/>
    <col min="14" max="14" width="19" style="1" customWidth="1"/>
    <col min="15" max="15" width="18.625" style="1" customWidth="1"/>
    <col min="16" max="16" width="39.875" style="1" customWidth="1"/>
    <col min="17" max="16384" width="9" style="1"/>
  </cols>
  <sheetData>
    <row r="1" spans="1:21" ht="77.25" customHeight="1">
      <c r="A1" s="238" t="s">
        <v>111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</row>
    <row r="2" spans="1:21" ht="20.25">
      <c r="A2" s="2"/>
      <c r="B2" s="3">
        <f>800000-39.04-187.52</f>
        <v>799773.44</v>
      </c>
      <c r="C2" s="83"/>
      <c r="D2" s="69"/>
      <c r="E2" s="4"/>
      <c r="F2" s="4"/>
      <c r="G2" s="4"/>
      <c r="H2" s="4"/>
      <c r="I2" s="4"/>
      <c r="J2" s="4"/>
      <c r="K2" s="4"/>
      <c r="L2" s="4"/>
      <c r="M2" s="5"/>
      <c r="N2" s="6"/>
      <c r="O2" s="7"/>
      <c r="P2" s="8"/>
    </row>
    <row r="3" spans="1:21" ht="18.75" thickBot="1">
      <c r="A3" s="9"/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3"/>
      <c r="N3" s="14"/>
      <c r="O3" s="15"/>
      <c r="P3" s="15"/>
    </row>
    <row r="4" spans="1:21" ht="63">
      <c r="A4" s="16" t="s">
        <v>0</v>
      </c>
      <c r="B4" s="17" t="s">
        <v>1</v>
      </c>
      <c r="C4" s="17" t="s">
        <v>2</v>
      </c>
      <c r="D4" s="18" t="s">
        <v>109</v>
      </c>
      <c r="E4" s="18" t="s">
        <v>108</v>
      </c>
      <c r="F4" s="18" t="s">
        <v>23</v>
      </c>
      <c r="G4" s="18" t="s">
        <v>5</v>
      </c>
      <c r="H4" s="20" t="s">
        <v>6</v>
      </c>
      <c r="I4" s="20" t="s">
        <v>7</v>
      </c>
      <c r="J4" s="20" t="s">
        <v>8</v>
      </c>
      <c r="K4" s="20" t="s">
        <v>9</v>
      </c>
      <c r="L4" s="18" t="s">
        <v>10</v>
      </c>
      <c r="M4" s="18" t="s">
        <v>11</v>
      </c>
      <c r="N4" s="21" t="s">
        <v>24</v>
      </c>
      <c r="O4" s="18" t="s">
        <v>110</v>
      </c>
      <c r="P4" s="22" t="s">
        <v>14</v>
      </c>
    </row>
    <row r="5" spans="1:21" ht="15.75">
      <c r="A5" s="248" t="s">
        <v>15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50"/>
    </row>
    <row r="6" spans="1:21" ht="111.6" customHeight="1">
      <c r="A6" s="198">
        <v>1</v>
      </c>
      <c r="B6" s="199" t="s">
        <v>19</v>
      </c>
      <c r="C6" s="200" t="s">
        <v>25</v>
      </c>
      <c r="D6" s="201" t="s">
        <v>20</v>
      </c>
      <c r="E6" s="202">
        <v>43749</v>
      </c>
      <c r="F6" s="203" t="s">
        <v>16</v>
      </c>
      <c r="G6" s="203" t="s">
        <v>22</v>
      </c>
      <c r="H6" s="251">
        <v>310180.3</v>
      </c>
      <c r="I6" s="252"/>
      <c r="J6" s="253"/>
      <c r="K6" s="204" t="s">
        <v>17</v>
      </c>
      <c r="L6" s="205">
        <v>50000</v>
      </c>
      <c r="M6" s="205">
        <f>H6+L6</f>
        <v>360180.3</v>
      </c>
      <c r="N6" s="206">
        <v>0.31609999999999999</v>
      </c>
      <c r="O6" s="207">
        <f>M6*N6</f>
        <v>113852.99282999999</v>
      </c>
      <c r="P6" s="53"/>
    </row>
    <row r="7" spans="1:21" ht="61.15" customHeight="1">
      <c r="A7" s="34">
        <v>2</v>
      </c>
      <c r="B7" s="24" t="s">
        <v>103</v>
      </c>
      <c r="C7" s="25" t="s">
        <v>117</v>
      </c>
      <c r="D7" s="26" t="s">
        <v>27</v>
      </c>
      <c r="E7" s="27">
        <v>43787</v>
      </c>
      <c r="F7" s="28" t="s">
        <v>28</v>
      </c>
      <c r="G7" s="28" t="s">
        <v>22</v>
      </c>
      <c r="H7" s="33" t="s">
        <v>17</v>
      </c>
      <c r="I7" s="33" t="s">
        <v>17</v>
      </c>
      <c r="J7" s="29">
        <f>93667.16*1.23</f>
        <v>115210.60680000001</v>
      </c>
      <c r="K7" s="33"/>
      <c r="L7" s="29">
        <f>3000*1.23+9400*1.23</f>
        <v>15252</v>
      </c>
      <c r="M7" s="29">
        <f>J7+L7</f>
        <v>130462.60680000001</v>
      </c>
      <c r="N7" s="208">
        <v>0.75</v>
      </c>
      <c r="O7" s="209">
        <f t="shared" ref="O7:O11" si="0">M7*N7</f>
        <v>97846.955100000006</v>
      </c>
      <c r="P7" s="53"/>
    </row>
    <row r="8" spans="1:21" ht="111.6" customHeight="1">
      <c r="A8" s="23">
        <v>3</v>
      </c>
      <c r="B8" s="24" t="s">
        <v>105</v>
      </c>
      <c r="C8" s="25" t="s">
        <v>32</v>
      </c>
      <c r="D8" s="26" t="s">
        <v>20</v>
      </c>
      <c r="E8" s="27">
        <v>43791</v>
      </c>
      <c r="F8" s="28" t="s">
        <v>16</v>
      </c>
      <c r="G8" s="28" t="s">
        <v>22</v>
      </c>
      <c r="H8" s="29">
        <v>367927.1</v>
      </c>
      <c r="I8" s="29">
        <v>491072.06</v>
      </c>
      <c r="J8" s="29">
        <v>151147.66</v>
      </c>
      <c r="K8" s="33"/>
      <c r="L8" s="29" t="s">
        <v>30</v>
      </c>
      <c r="M8" s="29">
        <v>1242480.5900000001</v>
      </c>
      <c r="N8" s="208">
        <v>0.12670000000000001</v>
      </c>
      <c r="O8" s="209">
        <f t="shared" si="0"/>
        <v>157422.29075300001</v>
      </c>
      <c r="P8" s="53"/>
    </row>
    <row r="9" spans="1:21" ht="60" customHeight="1">
      <c r="A9" s="23">
        <v>4</v>
      </c>
      <c r="B9" s="51" t="s">
        <v>106</v>
      </c>
      <c r="C9" s="44" t="s">
        <v>67</v>
      </c>
      <c r="D9" s="26" t="s">
        <v>27</v>
      </c>
      <c r="E9" s="58">
        <v>43796</v>
      </c>
      <c r="F9" s="47" t="s">
        <v>16</v>
      </c>
      <c r="G9" s="47" t="s">
        <v>22</v>
      </c>
      <c r="H9" s="59"/>
      <c r="I9" s="60"/>
      <c r="J9" s="60">
        <v>359643.35</v>
      </c>
      <c r="K9" s="60"/>
      <c r="L9" s="60"/>
      <c r="M9" s="29">
        <f>J9</f>
        <v>359643.35</v>
      </c>
      <c r="N9" s="208">
        <v>0.438</v>
      </c>
      <c r="O9" s="209">
        <f t="shared" si="0"/>
        <v>157523.7873</v>
      </c>
      <c r="P9" s="38"/>
    </row>
    <row r="10" spans="1:21" s="86" customFormat="1" ht="74.45" customHeight="1">
      <c r="A10" s="34">
        <v>5</v>
      </c>
      <c r="B10" s="51" t="s">
        <v>104</v>
      </c>
      <c r="C10" s="44" t="s">
        <v>88</v>
      </c>
      <c r="D10" s="26" t="s">
        <v>27</v>
      </c>
      <c r="E10" s="58">
        <v>43797</v>
      </c>
      <c r="F10" s="47" t="s">
        <v>16</v>
      </c>
      <c r="G10" s="47" t="s">
        <v>22</v>
      </c>
      <c r="H10" s="59"/>
      <c r="I10" s="60"/>
      <c r="J10" s="60">
        <f>112339.28*1.23</f>
        <v>138177.3144</v>
      </c>
      <c r="K10" s="60"/>
      <c r="L10" s="60"/>
      <c r="M10" s="29">
        <f>J10</f>
        <v>138177.3144</v>
      </c>
      <c r="N10" s="208">
        <v>0.31609999999999999</v>
      </c>
      <c r="O10" s="209">
        <f t="shared" si="0"/>
        <v>43677.849081840002</v>
      </c>
      <c r="P10" s="53"/>
    </row>
    <row r="11" spans="1:21" ht="62.45" customHeight="1" thickBot="1">
      <c r="A11" s="23">
        <v>6</v>
      </c>
      <c r="B11" s="51" t="s">
        <v>107</v>
      </c>
      <c r="C11" s="44" t="s">
        <v>90</v>
      </c>
      <c r="D11" s="26" t="s">
        <v>27</v>
      </c>
      <c r="E11" s="58">
        <v>43797</v>
      </c>
      <c r="F11" s="47" t="s">
        <v>16</v>
      </c>
      <c r="G11" s="47" t="s">
        <v>22</v>
      </c>
      <c r="H11" s="59"/>
      <c r="I11" s="60"/>
      <c r="J11" s="60">
        <v>23705.200000000001</v>
      </c>
      <c r="K11" s="60"/>
      <c r="L11" s="60">
        <v>2000</v>
      </c>
      <c r="M11" s="29">
        <f>J11+L11</f>
        <v>25705.200000000001</v>
      </c>
      <c r="N11" s="208">
        <v>0.75</v>
      </c>
      <c r="O11" s="209">
        <f t="shared" si="0"/>
        <v>19278.900000000001</v>
      </c>
      <c r="P11" s="61"/>
    </row>
    <row r="12" spans="1:21" ht="39" customHeight="1" thickBot="1">
      <c r="A12" s="254" t="s">
        <v>21</v>
      </c>
      <c r="B12" s="255"/>
      <c r="C12" s="255"/>
      <c r="D12" s="255"/>
      <c r="E12" s="255"/>
      <c r="F12" s="255"/>
      <c r="G12" s="256"/>
      <c r="H12" s="39"/>
      <c r="I12" s="39"/>
      <c r="J12" s="39"/>
      <c r="K12" s="39"/>
      <c r="L12" s="39"/>
      <c r="M12" s="210">
        <f>SUM(M6:M11)</f>
        <v>2256649.3612000002</v>
      </c>
      <c r="N12" s="211"/>
      <c r="O12" s="212">
        <f>SUM(O6:O11)</f>
        <v>589602.77506483998</v>
      </c>
      <c r="P12" s="57"/>
      <c r="U12" s="227">
        <f>O12/B2</f>
        <v>0.73721224733949653</v>
      </c>
    </row>
    <row r="13" spans="1:21" ht="15.75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</row>
    <row r="14" spans="1:21" ht="16.5" thickBot="1">
      <c r="A14" s="257" t="s">
        <v>61</v>
      </c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9"/>
    </row>
    <row r="15" spans="1:21" ht="68.45" customHeight="1">
      <c r="A15" s="99">
        <v>1</v>
      </c>
      <c r="B15" s="100" t="s">
        <v>45</v>
      </c>
      <c r="C15" s="101" t="s">
        <v>46</v>
      </c>
      <c r="D15" s="102" t="s">
        <v>47</v>
      </c>
      <c r="E15" s="103">
        <v>43797</v>
      </c>
      <c r="F15" s="104"/>
      <c r="G15" s="104"/>
      <c r="H15" s="105"/>
      <c r="I15" s="105"/>
      <c r="J15" s="106"/>
      <c r="K15" s="106"/>
      <c r="L15" s="105"/>
      <c r="M15" s="214">
        <v>9949.23</v>
      </c>
      <c r="N15" s="215"/>
      <c r="O15" s="216">
        <f>IF(M15*N15&lt;159101.73,M15*N15,159101.73)</f>
        <v>0</v>
      </c>
      <c r="P15" s="195" t="s">
        <v>102</v>
      </c>
    </row>
    <row r="16" spans="1:21" ht="52.9" customHeight="1">
      <c r="A16" s="34">
        <v>2</v>
      </c>
      <c r="B16" s="24" t="s">
        <v>93</v>
      </c>
      <c r="C16" s="25" t="s">
        <v>34</v>
      </c>
      <c r="D16" s="26" t="s">
        <v>27</v>
      </c>
      <c r="E16" s="27">
        <v>43795</v>
      </c>
      <c r="F16" s="28" t="s">
        <v>35</v>
      </c>
      <c r="G16" s="28" t="s">
        <v>29</v>
      </c>
      <c r="H16" s="29"/>
      <c r="I16" s="29"/>
      <c r="J16" s="29"/>
      <c r="K16" s="33"/>
      <c r="L16" s="29"/>
      <c r="M16" s="217">
        <v>369392.5</v>
      </c>
      <c r="N16" s="208"/>
      <c r="O16" s="218">
        <f t="shared" ref="O16:O18" si="1">IF(M16*N16&lt;159101.73,M16*N16,159101.73)</f>
        <v>0</v>
      </c>
      <c r="P16" s="196" t="s">
        <v>101</v>
      </c>
    </row>
    <row r="17" spans="1:16" ht="87.6" customHeight="1">
      <c r="A17" s="23">
        <v>3</v>
      </c>
      <c r="B17" s="24" t="s">
        <v>36</v>
      </c>
      <c r="C17" s="25" t="s">
        <v>37</v>
      </c>
      <c r="D17" s="26" t="s">
        <v>38</v>
      </c>
      <c r="E17" s="35">
        <v>43795</v>
      </c>
      <c r="F17" s="28" t="s">
        <v>16</v>
      </c>
      <c r="G17" s="28" t="s">
        <v>29</v>
      </c>
      <c r="H17" s="36"/>
      <c r="I17" s="37"/>
      <c r="J17" s="37"/>
      <c r="K17" s="37"/>
      <c r="L17" s="37"/>
      <c r="M17" s="217">
        <v>398000</v>
      </c>
      <c r="N17" s="208"/>
      <c r="O17" s="218">
        <f t="shared" si="1"/>
        <v>0</v>
      </c>
      <c r="P17" s="196" t="s">
        <v>101</v>
      </c>
    </row>
    <row r="18" spans="1:16" s="86" customFormat="1" ht="117.6" customHeight="1">
      <c r="A18" s="34">
        <v>4</v>
      </c>
      <c r="B18" s="51" t="s">
        <v>48</v>
      </c>
      <c r="C18" s="25" t="s">
        <v>49</v>
      </c>
      <c r="D18" s="26" t="s">
        <v>20</v>
      </c>
      <c r="E18" s="46">
        <v>43798</v>
      </c>
      <c r="F18" s="47" t="s">
        <v>16</v>
      </c>
      <c r="G18" s="47" t="s">
        <v>29</v>
      </c>
      <c r="H18" s="48"/>
      <c r="I18" s="48"/>
      <c r="J18" s="49"/>
      <c r="K18" s="49"/>
      <c r="L18" s="48"/>
      <c r="M18" s="217">
        <v>25000</v>
      </c>
      <c r="N18" s="219"/>
      <c r="O18" s="218">
        <f t="shared" si="1"/>
        <v>0</v>
      </c>
      <c r="P18" s="55" t="s">
        <v>101</v>
      </c>
    </row>
    <row r="19" spans="1:16" ht="118.15" customHeight="1" thickBot="1">
      <c r="A19" s="111">
        <v>5</v>
      </c>
      <c r="B19" s="112" t="s">
        <v>39</v>
      </c>
      <c r="C19" s="113" t="s">
        <v>52</v>
      </c>
      <c r="D19" s="114" t="s">
        <v>20</v>
      </c>
      <c r="E19" s="115">
        <v>43795</v>
      </c>
      <c r="F19" s="117" t="s">
        <v>35</v>
      </c>
      <c r="G19" s="117" t="s">
        <v>29</v>
      </c>
      <c r="H19" s="118"/>
      <c r="I19" s="119"/>
      <c r="J19" s="119"/>
      <c r="K19" s="119"/>
      <c r="L19" s="119"/>
      <c r="M19" s="220">
        <v>236046.46</v>
      </c>
      <c r="N19" s="221"/>
      <c r="O19" s="222">
        <f>IF(M19*N19&lt;159101.73,M19*N19,159101.73)</f>
        <v>0</v>
      </c>
      <c r="P19" s="197" t="s">
        <v>101</v>
      </c>
    </row>
    <row r="20" spans="1:16">
      <c r="M20" s="42"/>
    </row>
    <row r="22" spans="1:16" ht="18">
      <c r="C22" s="228" t="s">
        <v>112</v>
      </c>
      <c r="D22" s="225"/>
      <c r="E22" s="225"/>
      <c r="F22" s="225"/>
      <c r="G22" s="225"/>
      <c r="H22" s="225"/>
      <c r="I22" s="225"/>
      <c r="J22" s="225"/>
      <c r="K22" s="225"/>
      <c r="L22" s="225"/>
      <c r="M22" s="226"/>
      <c r="N22" s="260" t="s">
        <v>114</v>
      </c>
      <c r="O22" s="260"/>
    </row>
    <row r="23" spans="1:16" ht="105" customHeight="1">
      <c r="C23" s="229" t="s">
        <v>116</v>
      </c>
      <c r="N23" s="247" t="s">
        <v>116</v>
      </c>
      <c r="O23" s="247"/>
    </row>
    <row r="24" spans="1:16">
      <c r="C24" s="229" t="s">
        <v>113</v>
      </c>
      <c r="N24" s="247" t="s">
        <v>115</v>
      </c>
      <c r="O24" s="247"/>
    </row>
    <row r="25" spans="1:16" ht="18">
      <c r="L25" s="70"/>
      <c r="M25" s="70"/>
      <c r="N25" s="70"/>
      <c r="O25" s="70"/>
      <c r="P25" s="70"/>
    </row>
    <row r="26" spans="1:16" ht="18">
      <c r="L26" s="70"/>
      <c r="M26" s="70"/>
      <c r="N26" s="70"/>
      <c r="O26" s="71"/>
      <c r="P26" s="70"/>
    </row>
    <row r="27" spans="1:16" ht="18">
      <c r="L27" s="70"/>
      <c r="M27" s="70"/>
      <c r="N27" s="71"/>
      <c r="O27" s="71"/>
      <c r="P27" s="70"/>
    </row>
    <row r="28" spans="1:16" ht="18">
      <c r="L28" s="70"/>
      <c r="M28" s="70"/>
      <c r="N28" s="70"/>
      <c r="O28" s="71"/>
      <c r="P28" s="70"/>
    </row>
    <row r="29" spans="1:16" ht="18">
      <c r="L29" s="70"/>
      <c r="M29" s="70"/>
      <c r="N29" s="70"/>
      <c r="O29" s="70"/>
      <c r="P29" s="70"/>
    </row>
    <row r="30" spans="1:16" ht="18">
      <c r="L30" s="70"/>
      <c r="M30" s="70"/>
      <c r="N30" s="70"/>
      <c r="O30" s="70"/>
      <c r="P30" s="70"/>
    </row>
    <row r="31" spans="1:16" ht="18">
      <c r="L31" s="70"/>
      <c r="M31" s="70"/>
      <c r="N31" s="70"/>
      <c r="O31" s="70"/>
      <c r="P31" s="70"/>
    </row>
    <row r="32" spans="1:16" ht="18">
      <c r="L32" s="70"/>
      <c r="M32" s="70"/>
      <c r="N32" s="70"/>
      <c r="O32" s="70"/>
      <c r="P32" s="70"/>
    </row>
    <row r="33" spans="12:16" ht="18">
      <c r="L33" s="70"/>
      <c r="M33" s="70"/>
      <c r="N33" s="70"/>
      <c r="O33" s="70"/>
      <c r="P33" s="70"/>
    </row>
    <row r="34" spans="12:16" ht="18">
      <c r="L34" s="70"/>
      <c r="M34" s="70"/>
      <c r="N34" s="70"/>
      <c r="O34" s="70"/>
      <c r="P34" s="70"/>
    </row>
    <row r="35" spans="12:16" ht="18">
      <c r="L35" s="70"/>
      <c r="M35" s="70"/>
      <c r="N35" s="70"/>
      <c r="O35" s="70"/>
      <c r="P35" s="70"/>
    </row>
    <row r="36" spans="12:16" ht="18">
      <c r="L36" s="70"/>
      <c r="M36" s="70"/>
      <c r="N36" s="70"/>
      <c r="O36" s="70"/>
      <c r="P36" s="70"/>
    </row>
    <row r="37" spans="12:16" ht="18">
      <c r="L37" s="70"/>
      <c r="M37" s="70"/>
      <c r="N37" s="70"/>
      <c r="O37" s="70"/>
      <c r="P37" s="70"/>
    </row>
    <row r="38" spans="12:16" ht="18">
      <c r="L38" s="70"/>
      <c r="M38" s="70"/>
      <c r="N38" s="70"/>
      <c r="O38" s="70"/>
      <c r="P38" s="70"/>
    </row>
    <row r="39" spans="12:16" ht="18">
      <c r="L39" s="70"/>
      <c r="M39" s="70"/>
      <c r="N39" s="70"/>
      <c r="O39" s="70"/>
      <c r="P39" s="70"/>
    </row>
    <row r="40" spans="12:16" ht="18">
      <c r="L40" s="70"/>
      <c r="M40" s="70"/>
      <c r="N40" s="70"/>
      <c r="O40" s="70"/>
      <c r="P40" s="70"/>
    </row>
    <row r="41" spans="12:16" ht="18">
      <c r="L41" s="70"/>
      <c r="M41" s="70"/>
      <c r="O41" s="70"/>
      <c r="P41" s="70"/>
    </row>
    <row r="42" spans="12:16" ht="18">
      <c r="L42" s="70"/>
      <c r="M42" s="70"/>
      <c r="N42" s="70"/>
      <c r="O42" s="70"/>
      <c r="P42" s="70"/>
    </row>
    <row r="43" spans="12:16" ht="18">
      <c r="L43" s="70"/>
      <c r="M43" s="70"/>
      <c r="N43" s="70"/>
      <c r="O43" s="70"/>
      <c r="P43" s="70"/>
    </row>
    <row r="44" spans="12:16" ht="18">
      <c r="L44" s="70"/>
      <c r="M44" s="70"/>
      <c r="N44" s="70"/>
      <c r="O44" s="70"/>
      <c r="P44" s="70"/>
    </row>
    <row r="45" spans="12:16" ht="18">
      <c r="L45" s="70"/>
      <c r="M45" s="70"/>
      <c r="N45" s="70"/>
      <c r="O45" s="70"/>
      <c r="P45" s="70"/>
    </row>
    <row r="46" spans="12:16" ht="18">
      <c r="L46" s="70"/>
      <c r="M46" s="70"/>
      <c r="N46" s="70"/>
      <c r="O46" s="70"/>
      <c r="P46" s="70"/>
    </row>
    <row r="47" spans="12:16" ht="18">
      <c r="L47" s="70"/>
      <c r="M47" s="70"/>
      <c r="N47" s="70"/>
      <c r="O47" s="70"/>
      <c r="P47" s="70"/>
    </row>
    <row r="48" spans="12:16" ht="18">
      <c r="L48" s="70"/>
      <c r="M48" s="70"/>
      <c r="N48" s="70"/>
      <c r="O48" s="70"/>
      <c r="P48" s="70"/>
    </row>
    <row r="49" spans="12:16" ht="18">
      <c r="L49" s="70"/>
      <c r="M49" s="70"/>
      <c r="N49" s="70"/>
      <c r="O49" s="70"/>
      <c r="P49" s="70"/>
    </row>
    <row r="50" spans="12:16" ht="18">
      <c r="L50" s="70"/>
      <c r="M50" s="70"/>
      <c r="N50" s="70"/>
      <c r="O50" s="70"/>
      <c r="P50" s="70"/>
    </row>
    <row r="51" spans="12:16" ht="18">
      <c r="L51" s="70"/>
      <c r="M51" s="70"/>
      <c r="N51" s="70"/>
      <c r="O51" s="70"/>
      <c r="P51" s="70"/>
    </row>
    <row r="52" spans="12:16" ht="18">
      <c r="L52" s="70"/>
      <c r="M52" s="70"/>
      <c r="N52" s="70"/>
      <c r="O52" s="70"/>
      <c r="P52" s="70"/>
    </row>
    <row r="53" spans="12:16" ht="18">
      <c r="L53" s="70"/>
      <c r="M53" s="70"/>
      <c r="N53" s="70"/>
      <c r="O53" s="70"/>
      <c r="P53" s="70"/>
    </row>
    <row r="54" spans="12:16" ht="18">
      <c r="L54" s="70"/>
      <c r="M54" s="70"/>
      <c r="N54" s="70"/>
      <c r="O54" s="70"/>
      <c r="P54" s="70"/>
    </row>
    <row r="55" spans="12:16" ht="18">
      <c r="L55" s="70"/>
      <c r="M55" s="70"/>
      <c r="N55" s="70"/>
      <c r="O55" s="70"/>
      <c r="P55" s="70"/>
    </row>
    <row r="56" spans="12:16" ht="18">
      <c r="L56" s="70"/>
      <c r="M56" s="70"/>
      <c r="N56" s="70"/>
      <c r="O56" s="70"/>
      <c r="P56" s="70"/>
    </row>
    <row r="57" spans="12:16" ht="18">
      <c r="L57" s="70"/>
      <c r="M57" s="70"/>
      <c r="N57" s="70"/>
      <c r="O57" s="70"/>
      <c r="P57" s="70"/>
    </row>
    <row r="58" spans="12:16" ht="18">
      <c r="L58" s="70"/>
      <c r="M58" s="70"/>
      <c r="N58" s="70"/>
      <c r="O58" s="70"/>
      <c r="P58" s="70"/>
    </row>
    <row r="59" spans="12:16" ht="18">
      <c r="L59" s="70"/>
      <c r="M59" s="70"/>
      <c r="N59" s="70"/>
      <c r="O59" s="70"/>
      <c r="P59" s="70"/>
    </row>
    <row r="60" spans="12:16" ht="18">
      <c r="L60" s="70"/>
      <c r="M60" s="70"/>
      <c r="N60" s="70"/>
      <c r="O60" s="70"/>
      <c r="P60" s="70"/>
    </row>
    <row r="61" spans="12:16" ht="18">
      <c r="L61" s="70"/>
      <c r="M61" s="70"/>
      <c r="N61" s="70"/>
      <c r="O61" s="70"/>
      <c r="P61" s="70"/>
    </row>
    <row r="62" spans="12:16" ht="18">
      <c r="L62" s="70"/>
      <c r="M62" s="70"/>
      <c r="N62" s="70"/>
      <c r="O62" s="70"/>
      <c r="P62" s="70"/>
    </row>
    <row r="63" spans="12:16" ht="18">
      <c r="L63" s="70"/>
      <c r="M63" s="70"/>
      <c r="N63" s="70"/>
      <c r="O63" s="70"/>
      <c r="P63" s="70"/>
    </row>
    <row r="64" spans="12:16" ht="18">
      <c r="L64" s="70"/>
      <c r="M64" s="70"/>
      <c r="N64" s="70"/>
      <c r="O64" s="70"/>
      <c r="P64" s="70"/>
    </row>
    <row r="65" spans="12:16" ht="18">
      <c r="L65" s="70"/>
      <c r="M65" s="70"/>
      <c r="N65" s="70"/>
      <c r="O65" s="70"/>
      <c r="P65" s="70"/>
    </row>
    <row r="66" spans="12:16" ht="18">
      <c r="L66" s="70"/>
      <c r="M66" s="70"/>
      <c r="N66" s="70"/>
      <c r="O66" s="70"/>
      <c r="P66" s="70"/>
    </row>
    <row r="67" spans="12:16" ht="18">
      <c r="L67" s="70"/>
      <c r="M67" s="70"/>
      <c r="N67" s="70"/>
      <c r="O67" s="70"/>
      <c r="P67" s="70"/>
    </row>
  </sheetData>
  <mergeCells count="8">
    <mergeCell ref="N23:O23"/>
    <mergeCell ref="N24:O24"/>
    <mergeCell ref="A1:P1"/>
    <mergeCell ref="A5:P5"/>
    <mergeCell ref="H6:J6"/>
    <mergeCell ref="A12:G12"/>
    <mergeCell ref="A14:P14"/>
    <mergeCell ref="N22:O22"/>
  </mergeCells>
  <printOptions horizontalCentered="1"/>
  <pageMargins left="0.43307086614173229" right="0.35433070866141736" top="0.43307086614173229" bottom="0.43307086614173229" header="0.31496062992125984" footer="0.31496062992125984"/>
  <pageSetup paperSize="8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7"/>
  <sheetViews>
    <sheetView zoomScale="55" zoomScaleNormal="55" zoomScaleSheetLayoutView="40" workbookViewId="0">
      <selection activeCell="O6" sqref="O6"/>
    </sheetView>
  </sheetViews>
  <sheetFormatPr defaultColWidth="9" defaultRowHeight="14.25"/>
  <cols>
    <col min="1" max="1" width="5" style="1" customWidth="1"/>
    <col min="2" max="2" width="48.5" style="1" customWidth="1"/>
    <col min="3" max="3" width="47.625" style="1" customWidth="1"/>
    <col min="4" max="4" width="26.875" style="1" customWidth="1"/>
    <col min="5" max="5" width="17.625" style="1" customWidth="1"/>
    <col min="6" max="6" width="13.75" style="1" customWidth="1"/>
    <col min="7" max="7" width="17.625" style="1" customWidth="1"/>
    <col min="8" max="8" width="15.75" style="1" hidden="1" customWidth="1"/>
    <col min="9" max="10" width="17.125" style="1" hidden="1" customWidth="1"/>
    <col min="11" max="11" width="10.375" style="1" hidden="1" customWidth="1"/>
    <col min="12" max="12" width="18.625" style="1" hidden="1" customWidth="1"/>
    <col min="13" max="13" width="20.375" style="1" customWidth="1"/>
    <col min="14" max="14" width="19" style="1" customWidth="1"/>
    <col min="15" max="15" width="18.625" style="1" customWidth="1"/>
    <col min="16" max="16" width="39.875" style="1" customWidth="1"/>
    <col min="17" max="16384" width="9" style="1"/>
  </cols>
  <sheetData>
    <row r="1" spans="1:21" ht="77.25" customHeight="1">
      <c r="A1" s="238" t="s">
        <v>111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</row>
    <row r="2" spans="1:21" ht="20.25">
      <c r="A2" s="2"/>
      <c r="B2" s="3">
        <f>800000-39.04-187.52</f>
        <v>799773.44</v>
      </c>
      <c r="C2" s="83"/>
      <c r="D2" s="69"/>
      <c r="E2" s="4"/>
      <c r="F2" s="4"/>
      <c r="G2" s="4"/>
      <c r="H2" s="4"/>
      <c r="I2" s="4"/>
      <c r="J2" s="4"/>
      <c r="K2" s="4"/>
      <c r="L2" s="4"/>
      <c r="M2" s="5"/>
      <c r="N2" s="6"/>
      <c r="O2" s="7"/>
      <c r="P2" s="8"/>
    </row>
    <row r="3" spans="1:21" ht="18.75" thickBot="1">
      <c r="A3" s="9"/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3"/>
      <c r="N3" s="14"/>
      <c r="O3" s="15"/>
      <c r="P3" s="15"/>
    </row>
    <row r="4" spans="1:21" ht="63">
      <c r="A4" s="16" t="s">
        <v>0</v>
      </c>
      <c r="B4" s="17" t="s">
        <v>1</v>
      </c>
      <c r="C4" s="17" t="s">
        <v>2</v>
      </c>
      <c r="D4" s="18" t="s">
        <v>109</v>
      </c>
      <c r="E4" s="18" t="s">
        <v>108</v>
      </c>
      <c r="F4" s="18" t="s">
        <v>23</v>
      </c>
      <c r="G4" s="18" t="s">
        <v>5</v>
      </c>
      <c r="H4" s="20" t="s">
        <v>6</v>
      </c>
      <c r="I4" s="20" t="s">
        <v>7</v>
      </c>
      <c r="J4" s="20" t="s">
        <v>8</v>
      </c>
      <c r="K4" s="20" t="s">
        <v>9</v>
      </c>
      <c r="L4" s="18" t="s">
        <v>10</v>
      </c>
      <c r="M4" s="18" t="s">
        <v>11</v>
      </c>
      <c r="N4" s="21" t="s">
        <v>24</v>
      </c>
      <c r="O4" s="18" t="s">
        <v>110</v>
      </c>
      <c r="P4" s="22" t="s">
        <v>14</v>
      </c>
    </row>
    <row r="5" spans="1:21" ht="15.75">
      <c r="A5" s="248" t="s">
        <v>15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50"/>
    </row>
    <row r="6" spans="1:21" ht="166.9" customHeight="1">
      <c r="A6" s="198">
        <v>1</v>
      </c>
      <c r="B6" s="199" t="s">
        <v>19</v>
      </c>
      <c r="C6" s="200" t="s">
        <v>25</v>
      </c>
      <c r="D6" s="201" t="s">
        <v>20</v>
      </c>
      <c r="E6" s="202">
        <v>43749</v>
      </c>
      <c r="F6" s="203" t="s">
        <v>16</v>
      </c>
      <c r="G6" s="203" t="s">
        <v>22</v>
      </c>
      <c r="H6" s="251">
        <v>310180.3</v>
      </c>
      <c r="I6" s="252"/>
      <c r="J6" s="253"/>
      <c r="K6" s="204" t="s">
        <v>17</v>
      </c>
      <c r="L6" s="205">
        <v>50000</v>
      </c>
      <c r="M6" s="205">
        <f>H6+L6</f>
        <v>360180.3</v>
      </c>
      <c r="N6" s="206">
        <v>0.35439999999999999</v>
      </c>
      <c r="O6" s="207">
        <f>M6*N6</f>
        <v>127647.89831999999</v>
      </c>
      <c r="P6" s="53" t="s">
        <v>119</v>
      </c>
    </row>
    <row r="7" spans="1:21" ht="61.15" customHeight="1">
      <c r="A7" s="34">
        <v>2</v>
      </c>
      <c r="B7" s="24" t="s">
        <v>103</v>
      </c>
      <c r="C7" s="25" t="s">
        <v>117</v>
      </c>
      <c r="D7" s="26" t="s">
        <v>27</v>
      </c>
      <c r="E7" s="27">
        <v>43787</v>
      </c>
      <c r="F7" s="28" t="s">
        <v>28</v>
      </c>
      <c r="G7" s="28" t="s">
        <v>22</v>
      </c>
      <c r="H7" s="33" t="s">
        <v>17</v>
      </c>
      <c r="I7" s="33" t="s">
        <v>17</v>
      </c>
      <c r="J7" s="29">
        <f>93667.16*1.23</f>
        <v>115210.60680000001</v>
      </c>
      <c r="K7" s="33"/>
      <c r="L7" s="29">
        <f>3000*1.23+9400*1.23</f>
        <v>15252</v>
      </c>
      <c r="M7" s="29">
        <f>J7+L7</f>
        <v>130462.60680000001</v>
      </c>
      <c r="N7" s="208">
        <v>0.35439999999999999</v>
      </c>
      <c r="O7" s="209">
        <f t="shared" ref="O7:O11" si="0">M7*N7</f>
        <v>46235.947849920005</v>
      </c>
      <c r="P7" s="53"/>
    </row>
    <row r="8" spans="1:21" ht="111.6" customHeight="1">
      <c r="A8" s="23">
        <v>3</v>
      </c>
      <c r="B8" s="24" t="s">
        <v>105</v>
      </c>
      <c r="C8" s="25" t="s">
        <v>32</v>
      </c>
      <c r="D8" s="26" t="s">
        <v>20</v>
      </c>
      <c r="E8" s="27">
        <v>43791</v>
      </c>
      <c r="F8" s="28" t="s">
        <v>16</v>
      </c>
      <c r="G8" s="28" t="s">
        <v>22</v>
      </c>
      <c r="H8" s="29">
        <v>367927.1</v>
      </c>
      <c r="I8" s="29">
        <v>491072.06</v>
      </c>
      <c r="J8" s="29">
        <v>151147.66</v>
      </c>
      <c r="K8" s="33"/>
      <c r="L8" s="29" t="s">
        <v>30</v>
      </c>
      <c r="M8" s="29">
        <v>1242480.5900000001</v>
      </c>
      <c r="N8" s="208">
        <v>0.35439999999999999</v>
      </c>
      <c r="O8" s="209">
        <f t="shared" si="0"/>
        <v>440335.12109600002</v>
      </c>
      <c r="P8" s="53" t="s">
        <v>120</v>
      </c>
    </row>
    <row r="9" spans="1:21" ht="60" customHeight="1">
      <c r="A9" s="23">
        <v>4</v>
      </c>
      <c r="B9" s="51" t="s">
        <v>106</v>
      </c>
      <c r="C9" s="44" t="s">
        <v>67</v>
      </c>
      <c r="D9" s="26" t="s">
        <v>27</v>
      </c>
      <c r="E9" s="58">
        <v>43796</v>
      </c>
      <c r="F9" s="47" t="s">
        <v>16</v>
      </c>
      <c r="G9" s="47" t="s">
        <v>22</v>
      </c>
      <c r="H9" s="59"/>
      <c r="I9" s="60"/>
      <c r="J9" s="60">
        <v>359643.35</v>
      </c>
      <c r="K9" s="60"/>
      <c r="L9" s="60"/>
      <c r="M9" s="29">
        <f>J9</f>
        <v>359643.35</v>
      </c>
      <c r="N9" s="208">
        <v>0.35439999999999999</v>
      </c>
      <c r="O9" s="209">
        <f t="shared" si="0"/>
        <v>127457.60323999998</v>
      </c>
      <c r="P9" s="38"/>
    </row>
    <row r="10" spans="1:21" s="86" customFormat="1" ht="157.15" customHeight="1">
      <c r="A10" s="34">
        <v>5</v>
      </c>
      <c r="B10" s="51" t="s">
        <v>104</v>
      </c>
      <c r="C10" s="44" t="s">
        <v>88</v>
      </c>
      <c r="D10" s="26" t="s">
        <v>27</v>
      </c>
      <c r="E10" s="58">
        <v>43797</v>
      </c>
      <c r="F10" s="47" t="s">
        <v>16</v>
      </c>
      <c r="G10" s="47" t="s">
        <v>22</v>
      </c>
      <c r="H10" s="59"/>
      <c r="I10" s="60"/>
      <c r="J10" s="60">
        <f>112339.28*1.23</f>
        <v>138177.3144</v>
      </c>
      <c r="K10" s="60"/>
      <c r="L10" s="60"/>
      <c r="M10" s="29">
        <f>J10</f>
        <v>138177.3144</v>
      </c>
      <c r="N10" s="208">
        <v>0.35439999999999999</v>
      </c>
      <c r="O10" s="209">
        <f t="shared" si="0"/>
        <v>48970.040223360003</v>
      </c>
      <c r="P10" s="53" t="s">
        <v>121</v>
      </c>
    </row>
    <row r="11" spans="1:21" ht="62.45" customHeight="1" thickBot="1">
      <c r="A11" s="23">
        <v>6</v>
      </c>
      <c r="B11" s="51" t="s">
        <v>107</v>
      </c>
      <c r="C11" s="44" t="s">
        <v>90</v>
      </c>
      <c r="D11" s="26" t="s">
        <v>27</v>
      </c>
      <c r="E11" s="58">
        <v>43797</v>
      </c>
      <c r="F11" s="47" t="s">
        <v>16</v>
      </c>
      <c r="G11" s="47" t="s">
        <v>22</v>
      </c>
      <c r="H11" s="59"/>
      <c r="I11" s="60"/>
      <c r="J11" s="60">
        <v>23705.200000000001</v>
      </c>
      <c r="K11" s="60"/>
      <c r="L11" s="60">
        <v>2000</v>
      </c>
      <c r="M11" s="29">
        <f>J11+L11</f>
        <v>25705.200000000001</v>
      </c>
      <c r="N11" s="208">
        <v>0.35439999999999999</v>
      </c>
      <c r="O11" s="209">
        <f t="shared" si="0"/>
        <v>9109.9228800000001</v>
      </c>
      <c r="P11" s="61"/>
    </row>
    <row r="12" spans="1:21" ht="39" customHeight="1" thickBot="1">
      <c r="A12" s="254" t="s">
        <v>21</v>
      </c>
      <c r="B12" s="255"/>
      <c r="C12" s="255"/>
      <c r="D12" s="255"/>
      <c r="E12" s="255"/>
      <c r="F12" s="255"/>
      <c r="G12" s="256"/>
      <c r="H12" s="39"/>
      <c r="I12" s="39"/>
      <c r="J12" s="39"/>
      <c r="K12" s="39"/>
      <c r="L12" s="39"/>
      <c r="M12" s="210">
        <f>SUM(M6:M11)</f>
        <v>2256649.3612000002</v>
      </c>
      <c r="N12" s="211"/>
      <c r="O12" s="212">
        <f>SUM(O6:O11)</f>
        <v>799756.5336092799</v>
      </c>
      <c r="P12" s="57"/>
      <c r="U12" s="227">
        <f>O12/B2</f>
        <v>0.99997886102504219</v>
      </c>
    </row>
    <row r="13" spans="1:21" ht="15.75" thickBo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</row>
    <row r="14" spans="1:21" ht="16.5" thickBot="1">
      <c r="A14" s="257" t="s">
        <v>61</v>
      </c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9"/>
    </row>
    <row r="15" spans="1:21" ht="68.45" customHeight="1">
      <c r="A15" s="99">
        <v>1</v>
      </c>
      <c r="B15" s="100" t="s">
        <v>45</v>
      </c>
      <c r="C15" s="101" t="s">
        <v>46</v>
      </c>
      <c r="D15" s="102" t="s">
        <v>47</v>
      </c>
      <c r="E15" s="103">
        <v>43797</v>
      </c>
      <c r="F15" s="104"/>
      <c r="G15" s="104"/>
      <c r="H15" s="105"/>
      <c r="I15" s="105"/>
      <c r="J15" s="106"/>
      <c r="K15" s="106"/>
      <c r="L15" s="105"/>
      <c r="M15" s="214">
        <v>9949.23</v>
      </c>
      <c r="N15" s="215"/>
      <c r="O15" s="216">
        <f>IF(M15*N15&lt;159101.73,M15*N15,159101.73)</f>
        <v>0</v>
      </c>
      <c r="P15" s="195" t="s">
        <v>102</v>
      </c>
    </row>
    <row r="16" spans="1:21" ht="52.9" customHeight="1">
      <c r="A16" s="34">
        <v>2</v>
      </c>
      <c r="B16" s="24" t="s">
        <v>93</v>
      </c>
      <c r="C16" s="25" t="s">
        <v>34</v>
      </c>
      <c r="D16" s="26" t="s">
        <v>27</v>
      </c>
      <c r="E16" s="27">
        <v>43795</v>
      </c>
      <c r="F16" s="28" t="s">
        <v>35</v>
      </c>
      <c r="G16" s="28" t="s">
        <v>29</v>
      </c>
      <c r="H16" s="29"/>
      <c r="I16" s="29"/>
      <c r="J16" s="29"/>
      <c r="K16" s="33"/>
      <c r="L16" s="29"/>
      <c r="M16" s="217">
        <v>369392.5</v>
      </c>
      <c r="N16" s="208"/>
      <c r="O16" s="218">
        <f t="shared" ref="O16:O18" si="1">IF(M16*N16&lt;159101.73,M16*N16,159101.73)</f>
        <v>0</v>
      </c>
      <c r="P16" s="196" t="s">
        <v>101</v>
      </c>
    </row>
    <row r="17" spans="1:16" ht="87.6" customHeight="1">
      <c r="A17" s="23">
        <v>3</v>
      </c>
      <c r="B17" s="24" t="s">
        <v>36</v>
      </c>
      <c r="C17" s="25" t="s">
        <v>37</v>
      </c>
      <c r="D17" s="26" t="s">
        <v>38</v>
      </c>
      <c r="E17" s="35">
        <v>43795</v>
      </c>
      <c r="F17" s="28" t="s">
        <v>16</v>
      </c>
      <c r="G17" s="28" t="s">
        <v>29</v>
      </c>
      <c r="H17" s="36"/>
      <c r="I17" s="37"/>
      <c r="J17" s="37"/>
      <c r="K17" s="37"/>
      <c r="L17" s="37"/>
      <c r="M17" s="217">
        <v>398000</v>
      </c>
      <c r="N17" s="208"/>
      <c r="O17" s="218">
        <f t="shared" si="1"/>
        <v>0</v>
      </c>
      <c r="P17" s="196" t="s">
        <v>101</v>
      </c>
    </row>
    <row r="18" spans="1:16" s="86" customFormat="1" ht="117.6" customHeight="1">
      <c r="A18" s="34">
        <v>4</v>
      </c>
      <c r="B18" s="51" t="s">
        <v>48</v>
      </c>
      <c r="C18" s="25" t="s">
        <v>49</v>
      </c>
      <c r="D18" s="26" t="s">
        <v>20</v>
      </c>
      <c r="E18" s="46">
        <v>43798</v>
      </c>
      <c r="F18" s="47" t="s">
        <v>16</v>
      </c>
      <c r="G18" s="47" t="s">
        <v>29</v>
      </c>
      <c r="H18" s="48"/>
      <c r="I18" s="48"/>
      <c r="J18" s="49"/>
      <c r="K18" s="49"/>
      <c r="L18" s="48"/>
      <c r="M18" s="217">
        <v>25000</v>
      </c>
      <c r="N18" s="219"/>
      <c r="O18" s="218">
        <f t="shared" si="1"/>
        <v>0</v>
      </c>
      <c r="P18" s="55" t="s">
        <v>101</v>
      </c>
    </row>
    <row r="19" spans="1:16" ht="118.15" customHeight="1" thickBot="1">
      <c r="A19" s="111">
        <v>5</v>
      </c>
      <c r="B19" s="112" t="s">
        <v>39</v>
      </c>
      <c r="C19" s="113" t="s">
        <v>52</v>
      </c>
      <c r="D19" s="114" t="s">
        <v>20</v>
      </c>
      <c r="E19" s="115">
        <v>43795</v>
      </c>
      <c r="F19" s="117" t="s">
        <v>35</v>
      </c>
      <c r="G19" s="117" t="s">
        <v>29</v>
      </c>
      <c r="H19" s="118"/>
      <c r="I19" s="119"/>
      <c r="J19" s="119"/>
      <c r="K19" s="119"/>
      <c r="L19" s="119"/>
      <c r="M19" s="220">
        <v>236046.46</v>
      </c>
      <c r="N19" s="221"/>
      <c r="O19" s="222">
        <f>IF(M19*N19&lt;159101.73,M19*N19,159101.73)</f>
        <v>0</v>
      </c>
      <c r="P19" s="197" t="s">
        <v>101</v>
      </c>
    </row>
    <row r="20" spans="1:16">
      <c r="M20" s="42"/>
    </row>
    <row r="22" spans="1:16" ht="18">
      <c r="C22" s="224" t="s">
        <v>112</v>
      </c>
      <c r="D22" s="225"/>
      <c r="E22" s="225"/>
      <c r="F22" s="225"/>
      <c r="G22" s="225"/>
      <c r="H22" s="225"/>
      <c r="I22" s="225"/>
      <c r="J22" s="225"/>
      <c r="K22" s="225"/>
      <c r="L22" s="225"/>
      <c r="M22" s="226"/>
      <c r="N22" s="260" t="s">
        <v>114</v>
      </c>
      <c r="O22" s="260"/>
    </row>
    <row r="23" spans="1:16" ht="105" customHeight="1">
      <c r="C23" s="223" t="s">
        <v>116</v>
      </c>
      <c r="N23" s="247" t="s">
        <v>116</v>
      </c>
      <c r="O23" s="247"/>
    </row>
    <row r="24" spans="1:16">
      <c r="C24" s="223" t="s">
        <v>113</v>
      </c>
      <c r="N24" s="247" t="s">
        <v>115</v>
      </c>
      <c r="O24" s="247"/>
    </row>
    <row r="25" spans="1:16" ht="18">
      <c r="L25" s="70"/>
      <c r="M25" s="70"/>
      <c r="N25" s="70"/>
      <c r="O25" s="70"/>
      <c r="P25" s="70"/>
    </row>
    <row r="26" spans="1:16" ht="18">
      <c r="L26" s="70"/>
      <c r="M26" s="70"/>
      <c r="N26" s="70"/>
      <c r="O26" s="71"/>
      <c r="P26" s="70"/>
    </row>
    <row r="27" spans="1:16" ht="18">
      <c r="L27" s="70"/>
      <c r="M27" s="70"/>
      <c r="N27" s="71"/>
      <c r="O27" s="71"/>
      <c r="P27" s="70"/>
    </row>
    <row r="28" spans="1:16" ht="18">
      <c r="L28" s="70"/>
      <c r="M28" s="70"/>
      <c r="N28" s="70"/>
      <c r="O28" s="71"/>
      <c r="P28" s="70"/>
    </row>
    <row r="29" spans="1:16" ht="18">
      <c r="L29" s="70"/>
      <c r="M29" s="70"/>
      <c r="N29" s="70"/>
      <c r="O29" s="70"/>
      <c r="P29" s="70"/>
    </row>
    <row r="30" spans="1:16" ht="18">
      <c r="L30" s="70"/>
      <c r="M30" s="70"/>
      <c r="N30" s="70"/>
      <c r="O30" s="70"/>
      <c r="P30" s="70"/>
    </row>
    <row r="31" spans="1:16" ht="18">
      <c r="L31" s="70"/>
      <c r="M31" s="70"/>
      <c r="N31" s="70"/>
      <c r="O31" s="70"/>
      <c r="P31" s="70"/>
    </row>
    <row r="32" spans="1:16" ht="18">
      <c r="L32" s="70"/>
      <c r="M32" s="70"/>
      <c r="N32" s="70"/>
      <c r="O32" s="70"/>
      <c r="P32" s="70"/>
    </row>
    <row r="33" spans="12:16" ht="18">
      <c r="L33" s="70"/>
      <c r="M33" s="70"/>
      <c r="N33" s="70"/>
      <c r="O33" s="70"/>
      <c r="P33" s="70"/>
    </row>
    <row r="34" spans="12:16" ht="18">
      <c r="L34" s="70"/>
      <c r="M34" s="70"/>
      <c r="N34" s="70"/>
      <c r="O34" s="70"/>
      <c r="P34" s="70"/>
    </row>
    <row r="35" spans="12:16" ht="18">
      <c r="L35" s="70"/>
      <c r="M35" s="70"/>
      <c r="N35" s="70"/>
      <c r="O35" s="70"/>
      <c r="P35" s="70"/>
    </row>
    <row r="36" spans="12:16" ht="18">
      <c r="L36" s="70"/>
      <c r="M36" s="70"/>
      <c r="N36" s="70"/>
      <c r="O36" s="70"/>
      <c r="P36" s="70"/>
    </row>
    <row r="37" spans="12:16" ht="18">
      <c r="L37" s="70"/>
      <c r="M37" s="70"/>
      <c r="N37" s="70"/>
      <c r="O37" s="70"/>
      <c r="P37" s="70"/>
    </row>
    <row r="38" spans="12:16" ht="18">
      <c r="L38" s="70"/>
      <c r="M38" s="70"/>
      <c r="N38" s="70"/>
      <c r="O38" s="70"/>
      <c r="P38" s="70"/>
    </row>
    <row r="39" spans="12:16" ht="18">
      <c r="L39" s="70"/>
      <c r="M39" s="70"/>
      <c r="N39" s="70"/>
      <c r="O39" s="70"/>
      <c r="P39" s="70"/>
    </row>
    <row r="40" spans="12:16" ht="18">
      <c r="L40" s="70"/>
      <c r="M40" s="70"/>
      <c r="N40" s="70"/>
      <c r="O40" s="70"/>
      <c r="P40" s="70"/>
    </row>
    <row r="41" spans="12:16" ht="18">
      <c r="L41" s="70"/>
      <c r="M41" s="70"/>
      <c r="O41" s="70"/>
      <c r="P41" s="70"/>
    </row>
    <row r="42" spans="12:16" ht="18">
      <c r="L42" s="70"/>
      <c r="M42" s="70"/>
      <c r="N42" s="70"/>
      <c r="O42" s="70"/>
      <c r="P42" s="70"/>
    </row>
    <row r="43" spans="12:16" ht="18">
      <c r="L43" s="70"/>
      <c r="M43" s="70"/>
      <c r="N43" s="70"/>
      <c r="O43" s="70"/>
      <c r="P43" s="70"/>
    </row>
    <row r="44" spans="12:16" ht="18">
      <c r="L44" s="70"/>
      <c r="M44" s="70"/>
      <c r="N44" s="70"/>
      <c r="O44" s="70"/>
      <c r="P44" s="70"/>
    </row>
    <row r="45" spans="12:16" ht="18">
      <c r="L45" s="70"/>
      <c r="M45" s="70"/>
      <c r="N45" s="70"/>
      <c r="O45" s="70"/>
      <c r="P45" s="70"/>
    </row>
    <row r="46" spans="12:16" ht="18">
      <c r="L46" s="70"/>
      <c r="M46" s="70"/>
      <c r="N46" s="70"/>
      <c r="O46" s="70"/>
      <c r="P46" s="70"/>
    </row>
    <row r="47" spans="12:16" ht="18">
      <c r="L47" s="70"/>
      <c r="M47" s="70"/>
      <c r="N47" s="70"/>
      <c r="O47" s="70"/>
      <c r="P47" s="70"/>
    </row>
    <row r="48" spans="12:16" ht="18">
      <c r="L48" s="70"/>
      <c r="M48" s="70"/>
      <c r="N48" s="70"/>
      <c r="O48" s="70"/>
      <c r="P48" s="70"/>
    </row>
    <row r="49" spans="12:16" ht="18">
      <c r="L49" s="70"/>
      <c r="M49" s="70"/>
      <c r="N49" s="70"/>
      <c r="O49" s="70"/>
      <c r="P49" s="70"/>
    </row>
    <row r="50" spans="12:16" ht="18">
      <c r="L50" s="70"/>
      <c r="M50" s="70"/>
      <c r="N50" s="70"/>
      <c r="O50" s="70"/>
      <c r="P50" s="70"/>
    </row>
    <row r="51" spans="12:16" ht="18">
      <c r="L51" s="70"/>
      <c r="M51" s="70"/>
      <c r="N51" s="70"/>
      <c r="O51" s="70"/>
      <c r="P51" s="70"/>
    </row>
    <row r="52" spans="12:16" ht="18">
      <c r="L52" s="70"/>
      <c r="M52" s="70"/>
      <c r="N52" s="70"/>
      <c r="O52" s="70"/>
      <c r="P52" s="70"/>
    </row>
    <row r="53" spans="12:16" ht="18">
      <c r="L53" s="70"/>
      <c r="M53" s="70"/>
      <c r="N53" s="70"/>
      <c r="O53" s="70"/>
      <c r="P53" s="70"/>
    </row>
    <row r="54" spans="12:16" ht="18">
      <c r="L54" s="70"/>
      <c r="M54" s="70"/>
      <c r="N54" s="70"/>
      <c r="O54" s="70"/>
      <c r="P54" s="70"/>
    </row>
    <row r="55" spans="12:16" ht="18">
      <c r="L55" s="70"/>
      <c r="M55" s="70"/>
      <c r="N55" s="70"/>
      <c r="O55" s="70"/>
      <c r="P55" s="70"/>
    </row>
    <row r="56" spans="12:16" ht="18">
      <c r="L56" s="70"/>
      <c r="M56" s="70"/>
      <c r="N56" s="70"/>
      <c r="O56" s="70"/>
      <c r="P56" s="70"/>
    </row>
    <row r="57" spans="12:16" ht="18">
      <c r="L57" s="70"/>
      <c r="M57" s="70"/>
      <c r="N57" s="70"/>
      <c r="O57" s="70"/>
      <c r="P57" s="70"/>
    </row>
    <row r="58" spans="12:16" ht="18">
      <c r="L58" s="70"/>
      <c r="M58" s="70"/>
      <c r="N58" s="70"/>
      <c r="O58" s="70"/>
      <c r="P58" s="70"/>
    </row>
    <row r="59" spans="12:16" ht="18">
      <c r="L59" s="70"/>
      <c r="M59" s="70"/>
      <c r="N59" s="70"/>
      <c r="O59" s="70"/>
      <c r="P59" s="70"/>
    </row>
    <row r="60" spans="12:16" ht="18">
      <c r="L60" s="70"/>
      <c r="M60" s="70"/>
      <c r="N60" s="70"/>
      <c r="O60" s="70"/>
      <c r="P60" s="70"/>
    </row>
    <row r="61" spans="12:16" ht="18">
      <c r="L61" s="70"/>
      <c r="M61" s="70"/>
      <c r="N61" s="70"/>
      <c r="O61" s="70"/>
      <c r="P61" s="70"/>
    </row>
    <row r="62" spans="12:16" ht="18">
      <c r="L62" s="70"/>
      <c r="M62" s="70"/>
      <c r="N62" s="70"/>
      <c r="O62" s="70"/>
      <c r="P62" s="70"/>
    </row>
    <row r="63" spans="12:16" ht="18">
      <c r="L63" s="70"/>
      <c r="M63" s="70"/>
      <c r="N63" s="70"/>
      <c r="O63" s="70"/>
      <c r="P63" s="70"/>
    </row>
    <row r="64" spans="12:16" ht="18">
      <c r="L64" s="70"/>
      <c r="M64" s="70"/>
      <c r="N64" s="70"/>
      <c r="O64" s="70"/>
      <c r="P64" s="70"/>
    </row>
    <row r="65" spans="12:16" ht="18">
      <c r="L65" s="70"/>
      <c r="M65" s="70"/>
      <c r="N65" s="70"/>
      <c r="O65" s="70"/>
      <c r="P65" s="70"/>
    </row>
    <row r="66" spans="12:16" ht="18">
      <c r="L66" s="70"/>
      <c r="M66" s="70"/>
      <c r="N66" s="70"/>
      <c r="O66" s="70"/>
      <c r="P66" s="70"/>
    </row>
    <row r="67" spans="12:16" ht="18">
      <c r="L67" s="70"/>
      <c r="M67" s="70"/>
      <c r="N67" s="70"/>
      <c r="O67" s="70"/>
      <c r="P67" s="70"/>
    </row>
  </sheetData>
  <mergeCells count="8">
    <mergeCell ref="N22:O22"/>
    <mergeCell ref="N23:O23"/>
    <mergeCell ref="N24:O24"/>
    <mergeCell ref="A1:P1"/>
    <mergeCell ref="A5:P5"/>
    <mergeCell ref="H6:J6"/>
    <mergeCell ref="A14:P14"/>
    <mergeCell ref="A12:G12"/>
  </mergeCells>
  <printOptions horizontalCentered="1"/>
  <pageMargins left="0.43307086614173229" right="0.35433070866141736" top="0.43307086614173229" bottom="0.43307086614173229" header="0.31496062992125984" footer="0.31496062992125984"/>
  <pageSetup paperSize="8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4"/>
  <sheetViews>
    <sheetView zoomScale="70" zoomScaleNormal="70" workbookViewId="0">
      <selection activeCell="D18" sqref="D18"/>
    </sheetView>
  </sheetViews>
  <sheetFormatPr defaultColWidth="9" defaultRowHeight="14.25"/>
  <cols>
    <col min="1" max="1" width="5" style="1" customWidth="1"/>
    <col min="2" max="2" width="38.875" style="1" customWidth="1"/>
    <col min="3" max="3" width="33.875" style="1" customWidth="1"/>
    <col min="4" max="4" width="21.875" style="1" customWidth="1"/>
    <col min="5" max="5" width="14.125" style="1" customWidth="1"/>
    <col min="6" max="6" width="20.375" style="1" customWidth="1"/>
    <col min="7" max="16384" width="9" style="1"/>
  </cols>
  <sheetData>
    <row r="1" spans="1:6" ht="88.5" customHeight="1" thickBot="1">
      <c r="A1" s="261" t="s">
        <v>50</v>
      </c>
      <c r="B1" s="261"/>
      <c r="C1" s="261"/>
      <c r="D1" s="261"/>
      <c r="E1" s="261"/>
      <c r="F1" s="261"/>
    </row>
    <row r="2" spans="1:6" ht="98.25" customHeight="1" thickBot="1">
      <c r="A2" s="262" t="s">
        <v>51</v>
      </c>
      <c r="B2" s="263"/>
      <c r="C2" s="263"/>
      <c r="D2" s="263"/>
      <c r="E2" s="263"/>
      <c r="F2" s="264"/>
    </row>
    <row r="3" spans="1:6" ht="26.25" customHeight="1" thickBot="1">
      <c r="A3" s="9"/>
      <c r="B3" s="10"/>
      <c r="C3" s="11"/>
      <c r="D3" s="12"/>
      <c r="E3" s="12"/>
      <c r="F3" s="13"/>
    </row>
    <row r="4" spans="1:6" ht="63">
      <c r="A4" s="16" t="s">
        <v>0</v>
      </c>
      <c r="B4" s="17" t="s">
        <v>1</v>
      </c>
      <c r="C4" s="17" t="s">
        <v>2</v>
      </c>
      <c r="D4" s="18" t="s">
        <v>3</v>
      </c>
      <c r="E4" s="18" t="s">
        <v>4</v>
      </c>
      <c r="F4" s="18" t="s">
        <v>11</v>
      </c>
    </row>
    <row r="5" spans="1:6" ht="132.75" customHeight="1">
      <c r="A5" s="23">
        <v>1</v>
      </c>
      <c r="B5" s="24" t="s">
        <v>19</v>
      </c>
      <c r="C5" s="25" t="s">
        <v>25</v>
      </c>
      <c r="D5" s="26" t="s">
        <v>20</v>
      </c>
      <c r="E5" s="27">
        <v>43749</v>
      </c>
      <c r="F5" s="30">
        <v>502882.07</v>
      </c>
    </row>
    <row r="6" spans="1:6" ht="101.25" customHeight="1">
      <c r="A6" s="34">
        <v>2</v>
      </c>
      <c r="B6" s="24" t="s">
        <v>26</v>
      </c>
      <c r="C6" s="25" t="s">
        <v>117</v>
      </c>
      <c r="D6" s="26" t="s">
        <v>27</v>
      </c>
      <c r="E6" s="27">
        <v>43787</v>
      </c>
      <c r="F6" s="30">
        <v>124722</v>
      </c>
    </row>
    <row r="7" spans="1:6" ht="123.75" customHeight="1">
      <c r="A7" s="23">
        <v>3</v>
      </c>
      <c r="B7" s="24" t="s">
        <v>31</v>
      </c>
      <c r="C7" s="25" t="s">
        <v>32</v>
      </c>
      <c r="D7" s="26" t="s">
        <v>20</v>
      </c>
      <c r="E7" s="27">
        <v>43791</v>
      </c>
      <c r="F7" s="30">
        <v>1242480.5900000001</v>
      </c>
    </row>
    <row r="8" spans="1:6" ht="101.25" customHeight="1">
      <c r="A8" s="34">
        <v>4</v>
      </c>
      <c r="B8" s="24" t="s">
        <v>33</v>
      </c>
      <c r="C8" s="25" t="s">
        <v>34</v>
      </c>
      <c r="D8" s="26" t="s">
        <v>27</v>
      </c>
      <c r="E8" s="27">
        <v>43795</v>
      </c>
      <c r="F8" s="30">
        <v>369392.5</v>
      </c>
    </row>
    <row r="9" spans="1:6" ht="114.75" customHeight="1">
      <c r="A9" s="23">
        <v>5</v>
      </c>
      <c r="B9" s="24" t="s">
        <v>36</v>
      </c>
      <c r="C9" s="25" t="s">
        <v>37</v>
      </c>
      <c r="D9" s="26" t="s">
        <v>38</v>
      </c>
      <c r="E9" s="35">
        <v>43795</v>
      </c>
      <c r="F9" s="30">
        <v>398000</v>
      </c>
    </row>
    <row r="10" spans="1:6" ht="141" customHeight="1">
      <c r="A10" s="34">
        <v>6</v>
      </c>
      <c r="B10" s="51" t="s">
        <v>39</v>
      </c>
      <c r="C10" s="62" t="s">
        <v>52</v>
      </c>
      <c r="D10" s="26" t="s">
        <v>20</v>
      </c>
      <c r="E10" s="58">
        <v>43795</v>
      </c>
      <c r="F10" s="30">
        <v>236046.46</v>
      </c>
    </row>
    <row r="11" spans="1:6" ht="141" customHeight="1">
      <c r="A11" s="23">
        <v>7</v>
      </c>
      <c r="B11" s="51" t="s">
        <v>40</v>
      </c>
      <c r="C11" s="44" t="s">
        <v>41</v>
      </c>
      <c r="D11" s="26" t="s">
        <v>27</v>
      </c>
      <c r="E11" s="58">
        <v>43796</v>
      </c>
      <c r="F11" s="30">
        <v>407076.34</v>
      </c>
    </row>
    <row r="12" spans="1:6" ht="141" customHeight="1">
      <c r="A12" s="34">
        <v>8</v>
      </c>
      <c r="B12" s="51" t="s">
        <v>42</v>
      </c>
      <c r="C12" s="44" t="s">
        <v>43</v>
      </c>
      <c r="D12" s="26" t="s">
        <v>27</v>
      </c>
      <c r="E12" s="58">
        <v>43797</v>
      </c>
      <c r="F12" s="30">
        <f>355000*1.23</f>
        <v>436650</v>
      </c>
    </row>
    <row r="13" spans="1:6" ht="141" customHeight="1">
      <c r="A13" s="23">
        <v>9</v>
      </c>
      <c r="B13" s="51" t="s">
        <v>45</v>
      </c>
      <c r="C13" s="44" t="s">
        <v>44</v>
      </c>
      <c r="D13" s="26" t="s">
        <v>27</v>
      </c>
      <c r="E13" s="58">
        <v>43797</v>
      </c>
      <c r="F13" s="30">
        <v>31078.22</v>
      </c>
    </row>
    <row r="14" spans="1:6" ht="141" customHeight="1">
      <c r="A14" s="34">
        <v>10</v>
      </c>
      <c r="B14" s="51" t="s">
        <v>45</v>
      </c>
      <c r="C14" s="44" t="s">
        <v>46</v>
      </c>
      <c r="D14" s="45" t="s">
        <v>47</v>
      </c>
      <c r="E14" s="46">
        <v>43797</v>
      </c>
      <c r="F14" s="30">
        <v>9949.23</v>
      </c>
    </row>
    <row r="15" spans="1:6" ht="127.5" customHeight="1" thickBot="1">
      <c r="A15" s="34">
        <v>11</v>
      </c>
      <c r="B15" s="51" t="s">
        <v>48</v>
      </c>
      <c r="C15" s="25" t="s">
        <v>49</v>
      </c>
      <c r="D15" s="26" t="s">
        <v>20</v>
      </c>
      <c r="E15" s="46">
        <v>43798</v>
      </c>
      <c r="F15" s="30">
        <v>25000</v>
      </c>
    </row>
    <row r="16" spans="1:6" ht="39" customHeight="1" thickBot="1">
      <c r="A16" s="243" t="s">
        <v>21</v>
      </c>
      <c r="B16" s="244"/>
      <c r="C16" s="244"/>
      <c r="D16" s="245"/>
      <c r="E16" s="39"/>
      <c r="F16" s="40">
        <f>SUM(F5:F15)</f>
        <v>3783277.41</v>
      </c>
    </row>
    <row r="18" spans="6:6" ht="80.25" customHeight="1"/>
    <row r="22" spans="6:6">
      <c r="F22" s="42"/>
    </row>
    <row r="24" spans="6:6">
      <c r="F24" s="42"/>
    </row>
  </sheetData>
  <mergeCells count="3">
    <mergeCell ref="A1:F1"/>
    <mergeCell ref="A16:D16"/>
    <mergeCell ref="A2:F2"/>
  </mergeCells>
  <pageMargins left="1.1023622047244095" right="0.31496062992125984" top="0.74803149606299213" bottom="0.55118110236220474" header="0.31496062992125984" footer="0.31496062992125984"/>
  <pageSetup paperSize="8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4">
    <pageSetUpPr fitToPage="1"/>
  </sheetPr>
  <dimension ref="A1:AB67"/>
  <sheetViews>
    <sheetView topLeftCell="B13" zoomScale="55" zoomScaleNormal="55" zoomScaleSheetLayoutView="40" workbookViewId="0">
      <selection activeCell="Z9" sqref="Z9"/>
    </sheetView>
  </sheetViews>
  <sheetFormatPr defaultColWidth="9" defaultRowHeight="14.25"/>
  <cols>
    <col min="1" max="1" width="5" style="1" customWidth="1"/>
    <col min="2" max="2" width="48.5" style="1" customWidth="1"/>
    <col min="3" max="3" width="47.625" style="1" customWidth="1"/>
    <col min="4" max="4" width="24.75" style="1" customWidth="1"/>
    <col min="5" max="5" width="24.75" style="1" hidden="1" customWidth="1"/>
    <col min="6" max="6" width="14.125" style="1" hidden="1" customWidth="1"/>
    <col min="7" max="7" width="13.75" style="1" hidden="1" customWidth="1"/>
    <col min="8" max="11" width="17.625" style="1" hidden="1" customWidth="1"/>
    <col min="12" max="12" width="15.75" style="1" hidden="1" customWidth="1"/>
    <col min="13" max="14" width="17.125" style="1" hidden="1" customWidth="1"/>
    <col min="15" max="15" width="10.375" style="1" hidden="1" customWidth="1"/>
    <col min="16" max="16" width="18.625" style="1" hidden="1" customWidth="1"/>
    <col min="17" max="17" width="20.375" style="1" customWidth="1"/>
    <col min="18" max="19" width="19" style="1" hidden="1" customWidth="1"/>
    <col min="20" max="20" width="18.625" style="1" hidden="1" customWidth="1"/>
    <col min="21" max="24" width="25.75" style="1" customWidth="1"/>
    <col min="25" max="25" width="30" style="1" customWidth="1"/>
    <col min="26" max="26" width="23.375" style="1" customWidth="1"/>
    <col min="27" max="27" width="12" style="1" customWidth="1"/>
    <col min="28" max="28" width="31.625" style="1" customWidth="1"/>
    <col min="29" max="16384" width="9" style="1"/>
  </cols>
  <sheetData>
    <row r="1" spans="1:28" ht="77.25" customHeight="1">
      <c r="A1" s="238" t="s">
        <v>118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66"/>
      <c r="W1" s="66"/>
      <c r="X1" s="66"/>
      <c r="Y1" s="192" t="s">
        <v>98</v>
      </c>
      <c r="Z1" s="193">
        <f>30000*4.2693*1.23</f>
        <v>157537.17000000001</v>
      </c>
      <c r="AA1" s="130" t="s">
        <v>99</v>
      </c>
    </row>
    <row r="2" spans="1:28" ht="20.25">
      <c r="A2" s="2"/>
      <c r="B2" s="3">
        <f>800000-39.04-187.52</f>
        <v>799773.44</v>
      </c>
      <c r="C2" s="83"/>
      <c r="D2" s="69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6"/>
      <c r="S2" s="6"/>
      <c r="T2" s="7"/>
      <c r="U2" s="8"/>
      <c r="V2" s="69"/>
      <c r="W2" s="8"/>
      <c r="X2" s="8"/>
      <c r="Y2" s="78"/>
    </row>
    <row r="3" spans="1:28" ht="21" thickBot="1">
      <c r="A3" s="9"/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  <c r="R3" s="14"/>
      <c r="S3" s="14"/>
      <c r="T3" s="15"/>
      <c r="U3" s="15"/>
      <c r="V3" s="15"/>
      <c r="W3" s="75"/>
      <c r="X3" s="75"/>
      <c r="Y3" s="79"/>
      <c r="AB3" s="234"/>
    </row>
    <row r="4" spans="1:28" ht="63.75" thickBot="1">
      <c r="A4" s="16" t="s">
        <v>0</v>
      </c>
      <c r="B4" s="17" t="s">
        <v>1</v>
      </c>
      <c r="C4" s="17" t="s">
        <v>2</v>
      </c>
      <c r="D4" s="18" t="s">
        <v>3</v>
      </c>
      <c r="E4" s="18" t="s">
        <v>62</v>
      </c>
      <c r="F4" s="18" t="s">
        <v>4</v>
      </c>
      <c r="G4" s="18" t="s">
        <v>23</v>
      </c>
      <c r="H4" s="18" t="s">
        <v>5</v>
      </c>
      <c r="I4" s="63" t="s">
        <v>53</v>
      </c>
      <c r="J4" s="63" t="s">
        <v>70</v>
      </c>
      <c r="K4" s="63" t="s">
        <v>71</v>
      </c>
      <c r="L4" s="19" t="s">
        <v>6</v>
      </c>
      <c r="M4" s="19" t="s">
        <v>7</v>
      </c>
      <c r="N4" s="19" t="s">
        <v>8</v>
      </c>
      <c r="O4" s="20" t="s">
        <v>9</v>
      </c>
      <c r="P4" s="18" t="s">
        <v>10</v>
      </c>
      <c r="Q4" s="18" t="s">
        <v>11</v>
      </c>
      <c r="R4" s="21" t="s">
        <v>24</v>
      </c>
      <c r="S4" s="21" t="s">
        <v>12</v>
      </c>
      <c r="T4" s="18" t="s">
        <v>13</v>
      </c>
      <c r="U4" s="22" t="s">
        <v>14</v>
      </c>
      <c r="V4" s="187"/>
      <c r="W4" s="188" t="s">
        <v>97</v>
      </c>
      <c r="X4" s="74"/>
      <c r="AB4" s="234"/>
    </row>
    <row r="5" spans="1:28" ht="15.75">
      <c r="A5" s="265" t="s">
        <v>15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7"/>
      <c r="V5" s="182"/>
      <c r="W5" s="182"/>
      <c r="X5" s="73"/>
    </row>
    <row r="6" spans="1:28" ht="114.6" customHeight="1">
      <c r="A6" s="23">
        <v>1</v>
      </c>
      <c r="B6" s="24" t="s">
        <v>19</v>
      </c>
      <c r="C6" s="25" t="s">
        <v>25</v>
      </c>
      <c r="D6" s="26" t="s">
        <v>20</v>
      </c>
      <c r="E6" s="26" t="s">
        <v>63</v>
      </c>
      <c r="F6" s="27">
        <v>43749</v>
      </c>
      <c r="G6" s="28" t="s">
        <v>16</v>
      </c>
      <c r="H6" s="28" t="s">
        <v>22</v>
      </c>
      <c r="I6" s="28" t="s">
        <v>22</v>
      </c>
      <c r="J6" s="28" t="s">
        <v>22</v>
      </c>
      <c r="K6" s="132" t="s">
        <v>73</v>
      </c>
      <c r="L6" s="270">
        <v>310180.3</v>
      </c>
      <c r="M6" s="271"/>
      <c r="N6" s="272"/>
      <c r="O6" s="33" t="s">
        <v>17</v>
      </c>
      <c r="P6" s="29">
        <v>50000</v>
      </c>
      <c r="Q6" s="30">
        <f>L6+P6</f>
        <v>360180.3</v>
      </c>
      <c r="R6" s="31">
        <f>B$2/Q$12</f>
        <v>0.35440749181109416</v>
      </c>
      <c r="S6" s="31">
        <v>0.31609999999999999</v>
      </c>
      <c r="T6" s="32">
        <f>Q6*S6</f>
        <v>113852.99282999999</v>
      </c>
      <c r="U6" s="54"/>
      <c r="V6" s="189">
        <v>0.35439999999999999</v>
      </c>
      <c r="W6" s="190">
        <f>V6*Q6</f>
        <v>127647.89831999999</v>
      </c>
      <c r="X6" s="80">
        <v>0.31609999999999999</v>
      </c>
      <c r="Y6" s="183">
        <f t="shared" ref="Y6:Y11" si="0">Q6*X6</f>
        <v>113852.99282999999</v>
      </c>
      <c r="Z6" s="70"/>
      <c r="AA6" s="128" t="s">
        <v>76</v>
      </c>
      <c r="AB6" s="129">
        <f>Y6+Y10</f>
        <v>157530.84191183999</v>
      </c>
    </row>
    <row r="7" spans="1:28" ht="101.25" customHeight="1">
      <c r="A7" s="34">
        <v>2</v>
      </c>
      <c r="B7" s="24" t="s">
        <v>26</v>
      </c>
      <c r="C7" s="25" t="s">
        <v>117</v>
      </c>
      <c r="D7" s="26" t="s">
        <v>27</v>
      </c>
      <c r="E7" s="26" t="s">
        <v>64</v>
      </c>
      <c r="F7" s="27">
        <v>43787</v>
      </c>
      <c r="G7" s="28" t="s">
        <v>28</v>
      </c>
      <c r="H7" s="28" t="s">
        <v>22</v>
      </c>
      <c r="I7" s="28" t="s">
        <v>22</v>
      </c>
      <c r="J7" s="28" t="s">
        <v>22</v>
      </c>
      <c r="K7" s="132" t="s">
        <v>73</v>
      </c>
      <c r="L7" s="33" t="s">
        <v>17</v>
      </c>
      <c r="M7" s="33" t="s">
        <v>17</v>
      </c>
      <c r="N7" s="29">
        <f>93667.16*1.23</f>
        <v>115210.60680000001</v>
      </c>
      <c r="O7" s="33"/>
      <c r="P7" s="29">
        <f>3000*1.23+9400*1.23</f>
        <v>15252</v>
      </c>
      <c r="Q7" s="30">
        <f>N7+P7</f>
        <v>130462.60680000001</v>
      </c>
      <c r="R7" s="31">
        <f t="shared" ref="R7:R10" si="1">B$2/Q$12</f>
        <v>0.35440749181109416</v>
      </c>
      <c r="S7" s="31">
        <v>0.75</v>
      </c>
      <c r="T7" s="32">
        <f t="shared" ref="T7:T11" si="2">Q7*S7</f>
        <v>97846.955100000006</v>
      </c>
      <c r="U7" s="53" t="s">
        <v>100</v>
      </c>
      <c r="V7" s="189">
        <v>0.35439999999999999</v>
      </c>
      <c r="W7" s="190">
        <f t="shared" ref="W7:W11" si="3">V7*Q7</f>
        <v>46235.947849920005</v>
      </c>
      <c r="X7" s="80">
        <v>0.75</v>
      </c>
      <c r="Y7" s="184">
        <f t="shared" si="0"/>
        <v>97846.955100000006</v>
      </c>
      <c r="Z7" s="70"/>
      <c r="AA7" s="268" t="s">
        <v>77</v>
      </c>
      <c r="AB7" s="269"/>
    </row>
    <row r="8" spans="1:28" ht="111.6" customHeight="1">
      <c r="A8" s="23">
        <v>3</v>
      </c>
      <c r="B8" s="24" t="s">
        <v>31</v>
      </c>
      <c r="C8" s="25" t="s">
        <v>32</v>
      </c>
      <c r="D8" s="26" t="s">
        <v>20</v>
      </c>
      <c r="E8" s="26" t="s">
        <v>65</v>
      </c>
      <c r="F8" s="27">
        <v>43791</v>
      </c>
      <c r="G8" s="28" t="s">
        <v>16</v>
      </c>
      <c r="H8" s="28" t="s">
        <v>22</v>
      </c>
      <c r="I8" s="28" t="s">
        <v>22</v>
      </c>
      <c r="J8" s="28" t="s">
        <v>22</v>
      </c>
      <c r="K8" s="132" t="s">
        <v>73</v>
      </c>
      <c r="L8" s="29">
        <v>367927.1</v>
      </c>
      <c r="M8" s="29">
        <v>491072.06</v>
      </c>
      <c r="N8" s="29">
        <v>151147.66</v>
      </c>
      <c r="O8" s="33"/>
      <c r="P8" s="29" t="s">
        <v>30</v>
      </c>
      <c r="Q8" s="30">
        <v>1242480.5900000001</v>
      </c>
      <c r="R8" s="31">
        <f t="shared" si="1"/>
        <v>0.35440749181109416</v>
      </c>
      <c r="S8" s="31">
        <v>0.12670000000000001</v>
      </c>
      <c r="T8" s="32">
        <f t="shared" si="2"/>
        <v>157422.29075300001</v>
      </c>
      <c r="U8" s="53"/>
      <c r="V8" s="189">
        <v>0.35439999999999999</v>
      </c>
      <c r="W8" s="190">
        <f t="shared" si="3"/>
        <v>440335.12109600002</v>
      </c>
      <c r="X8" s="80">
        <v>0.12670000000000001</v>
      </c>
      <c r="Y8" s="185">
        <f t="shared" si="0"/>
        <v>157422.29075300001</v>
      </c>
      <c r="Z8" s="70"/>
      <c r="AA8" s="70"/>
      <c r="AB8" s="70"/>
    </row>
    <row r="9" spans="1:28" ht="141" customHeight="1">
      <c r="A9" s="23">
        <v>4</v>
      </c>
      <c r="B9" s="51" t="s">
        <v>40</v>
      </c>
      <c r="C9" s="44" t="s">
        <v>67</v>
      </c>
      <c r="D9" s="26" t="s">
        <v>27</v>
      </c>
      <c r="E9" s="45" t="s">
        <v>68</v>
      </c>
      <c r="F9" s="58">
        <v>43796</v>
      </c>
      <c r="G9" s="47" t="s">
        <v>16</v>
      </c>
      <c r="H9" s="47" t="s">
        <v>22</v>
      </c>
      <c r="I9" s="47" t="s">
        <v>22</v>
      </c>
      <c r="J9" s="47" t="s">
        <v>22</v>
      </c>
      <c r="K9" s="131" t="s">
        <v>73</v>
      </c>
      <c r="L9" s="59"/>
      <c r="M9" s="60"/>
      <c r="N9" s="60">
        <v>359643.35</v>
      </c>
      <c r="O9" s="60"/>
      <c r="P9" s="60"/>
      <c r="Q9" s="30">
        <f>N9</f>
        <v>359643.35</v>
      </c>
      <c r="R9" s="31">
        <f t="shared" si="1"/>
        <v>0.35440749181109416</v>
      </c>
      <c r="S9" s="31">
        <v>0.45079999999999998</v>
      </c>
      <c r="T9" s="32">
        <f t="shared" si="2"/>
        <v>162127.22217999998</v>
      </c>
      <c r="U9" s="61"/>
      <c r="V9" s="189">
        <v>0.35439999999999999</v>
      </c>
      <c r="W9" s="190">
        <f t="shared" si="3"/>
        <v>127457.60323999998</v>
      </c>
      <c r="X9" s="80">
        <v>0.438</v>
      </c>
      <c r="Y9" s="185">
        <f t="shared" si="0"/>
        <v>157523.7873</v>
      </c>
      <c r="Z9" s="70"/>
      <c r="AA9" s="70"/>
      <c r="AB9" s="71"/>
    </row>
    <row r="10" spans="1:28" s="86" customFormat="1" ht="141" customHeight="1">
      <c r="A10" s="34">
        <v>5</v>
      </c>
      <c r="B10" s="51" t="s">
        <v>42</v>
      </c>
      <c r="C10" s="44" t="s">
        <v>88</v>
      </c>
      <c r="D10" s="26" t="s">
        <v>27</v>
      </c>
      <c r="E10" s="26" t="s">
        <v>63</v>
      </c>
      <c r="F10" s="58">
        <v>43797</v>
      </c>
      <c r="G10" s="47" t="s">
        <v>16</v>
      </c>
      <c r="H10" s="47" t="s">
        <v>22</v>
      </c>
      <c r="I10" s="47" t="s">
        <v>22</v>
      </c>
      <c r="J10" s="47" t="s">
        <v>22</v>
      </c>
      <c r="K10" s="131" t="s">
        <v>73</v>
      </c>
      <c r="L10" s="59"/>
      <c r="M10" s="60"/>
      <c r="N10" s="60">
        <f>112339.28*1.23</f>
        <v>138177.3144</v>
      </c>
      <c r="O10" s="60"/>
      <c r="P10" s="60"/>
      <c r="Q10" s="30">
        <f>N10</f>
        <v>138177.3144</v>
      </c>
      <c r="R10" s="31">
        <f t="shared" si="1"/>
        <v>0.35440749181109416</v>
      </c>
      <c r="S10" s="84">
        <v>0.31609999999999999</v>
      </c>
      <c r="T10" s="32">
        <f t="shared" si="2"/>
        <v>43677.849081840002</v>
      </c>
      <c r="U10" s="61"/>
      <c r="V10" s="189">
        <v>0.35439999999999999</v>
      </c>
      <c r="W10" s="190">
        <f t="shared" si="3"/>
        <v>48970.040223360003</v>
      </c>
      <c r="X10" s="80">
        <f>X6</f>
        <v>0.31609999999999999</v>
      </c>
      <c r="Y10" s="183">
        <f t="shared" si="0"/>
        <v>43677.849081840002</v>
      </c>
      <c r="Z10" s="85"/>
      <c r="AA10" s="85"/>
      <c r="AB10" s="85"/>
    </row>
    <row r="11" spans="1:28" ht="141" customHeight="1" thickBot="1">
      <c r="A11" s="23">
        <v>6</v>
      </c>
      <c r="B11" s="51" t="s">
        <v>45</v>
      </c>
      <c r="C11" s="44" t="s">
        <v>90</v>
      </c>
      <c r="D11" s="26" t="s">
        <v>27</v>
      </c>
      <c r="E11" s="45" t="s">
        <v>69</v>
      </c>
      <c r="F11" s="58">
        <v>43797</v>
      </c>
      <c r="G11" s="47" t="s">
        <v>16</v>
      </c>
      <c r="H11" s="47" t="s">
        <v>22</v>
      </c>
      <c r="I11" s="47" t="s">
        <v>22</v>
      </c>
      <c r="J11" s="47" t="s">
        <v>22</v>
      </c>
      <c r="K11" s="131" t="s">
        <v>73</v>
      </c>
      <c r="L11" s="59"/>
      <c r="M11" s="60"/>
      <c r="N11" s="60">
        <v>23705.200000000001</v>
      </c>
      <c r="O11" s="60"/>
      <c r="P11" s="60">
        <v>2000</v>
      </c>
      <c r="Q11" s="30">
        <f>N11+P11</f>
        <v>25705.200000000001</v>
      </c>
      <c r="R11" s="31">
        <f>B$2/Q$12</f>
        <v>0.35440749181109416</v>
      </c>
      <c r="S11" s="31">
        <v>0.75</v>
      </c>
      <c r="T11" s="32">
        <f t="shared" si="2"/>
        <v>19278.900000000001</v>
      </c>
      <c r="U11" s="61"/>
      <c r="V11" s="189">
        <v>0.35439999999999999</v>
      </c>
      <c r="W11" s="230">
        <f t="shared" si="3"/>
        <v>9109.9228800000001</v>
      </c>
      <c r="X11" s="80">
        <v>0.75</v>
      </c>
      <c r="Y11" s="184">
        <f t="shared" si="0"/>
        <v>19278.900000000001</v>
      </c>
      <c r="Z11" s="70"/>
      <c r="AA11" s="70"/>
      <c r="AB11" s="70"/>
    </row>
    <row r="12" spans="1:28" ht="39" customHeight="1" thickBot="1">
      <c r="A12" s="243" t="s">
        <v>21</v>
      </c>
      <c r="B12" s="244"/>
      <c r="C12" s="244"/>
      <c r="D12" s="245"/>
      <c r="E12" s="64" t="s">
        <v>30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40">
        <f>SUM(Q6:Q11)</f>
        <v>2256649.3612000002</v>
      </c>
      <c r="R12" s="41"/>
      <c r="S12" s="52"/>
      <c r="T12" s="56">
        <f>SUM(T6:T11)</f>
        <v>594206.20994484005</v>
      </c>
      <c r="U12" s="57"/>
      <c r="V12" s="191"/>
      <c r="W12" s="231">
        <f ca="1">SUM(W6:W18)</f>
        <v>799773.44000000006</v>
      </c>
      <c r="X12" s="81" t="s">
        <v>21</v>
      </c>
      <c r="Y12" s="186">
        <f>SUM(Y6:Y11)</f>
        <v>589602.77506483998</v>
      </c>
      <c r="Z12" s="194">
        <f>Y12/B2</f>
        <v>0.73721224733949653</v>
      </c>
      <c r="AA12" s="77"/>
    </row>
    <row r="14" spans="1:28" ht="18.75" thickBot="1">
      <c r="A14" s="246" t="s">
        <v>61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65"/>
      <c r="W14" s="65"/>
      <c r="X14" s="65"/>
      <c r="Y14" s="42">
        <f>B2-Y12</f>
        <v>210170.66493515996</v>
      </c>
    </row>
    <row r="15" spans="1:28" ht="141" customHeight="1">
      <c r="A15" s="99">
        <v>1</v>
      </c>
      <c r="B15" s="100" t="s">
        <v>45</v>
      </c>
      <c r="C15" s="101" t="s">
        <v>46</v>
      </c>
      <c r="D15" s="102" t="s">
        <v>47</v>
      </c>
      <c r="E15" s="102"/>
      <c r="F15" s="103">
        <v>43797</v>
      </c>
      <c r="G15" s="104"/>
      <c r="H15" s="104"/>
      <c r="I15" s="104"/>
      <c r="J15" s="104"/>
      <c r="K15" s="104"/>
      <c r="L15" s="105"/>
      <c r="M15" s="105"/>
      <c r="N15" s="106"/>
      <c r="O15" s="106"/>
      <c r="P15" s="105"/>
      <c r="Q15" s="107">
        <v>9949.23</v>
      </c>
      <c r="R15" s="108"/>
      <c r="S15" s="108"/>
      <c r="T15" s="109">
        <f>IF(Q15*R15&lt;159101.73,Q15*R15,159101.73)</f>
        <v>0</v>
      </c>
      <c r="U15" s="110"/>
      <c r="V15" s="74"/>
      <c r="W15" s="74"/>
      <c r="Y15" s="76"/>
    </row>
    <row r="16" spans="1:28" ht="101.25" customHeight="1">
      <c r="A16" s="34">
        <v>2</v>
      </c>
      <c r="B16" s="24" t="s">
        <v>93</v>
      </c>
      <c r="C16" s="25" t="s">
        <v>34</v>
      </c>
      <c r="D16" s="26" t="s">
        <v>27</v>
      </c>
      <c r="E16" s="26" t="s">
        <v>66</v>
      </c>
      <c r="F16" s="27">
        <v>43795</v>
      </c>
      <c r="G16" s="67" t="s">
        <v>35</v>
      </c>
      <c r="H16" s="28" t="s">
        <v>29</v>
      </c>
      <c r="I16" s="28" t="s">
        <v>22</v>
      </c>
      <c r="J16" s="67" t="s">
        <v>72</v>
      </c>
      <c r="K16" s="28" t="s">
        <v>29</v>
      </c>
      <c r="L16" s="29"/>
      <c r="M16" s="29"/>
      <c r="N16" s="29"/>
      <c r="O16" s="33"/>
      <c r="P16" s="29"/>
      <c r="Q16" s="30">
        <v>369392.5</v>
      </c>
      <c r="R16" s="31"/>
      <c r="S16" s="31"/>
      <c r="T16" s="32">
        <f t="shared" ref="T16" si="4">IF(Q16*R16&lt;159101.73,Q16*R16,159101.73)</f>
        <v>0</v>
      </c>
      <c r="U16" s="54"/>
      <c r="V16" s="82"/>
      <c r="W16" s="124"/>
      <c r="X16" s="125"/>
      <c r="Y16" s="126"/>
      <c r="Z16" s="127"/>
      <c r="AA16" s="70"/>
      <c r="AB16" s="70"/>
    </row>
    <row r="17" spans="1:28" ht="141" customHeight="1">
      <c r="A17" s="23">
        <v>3</v>
      </c>
      <c r="B17" s="24" t="s">
        <v>36</v>
      </c>
      <c r="C17" s="25" t="s">
        <v>37</v>
      </c>
      <c r="D17" s="26" t="s">
        <v>38</v>
      </c>
      <c r="E17" s="26" t="s">
        <v>63</v>
      </c>
      <c r="F17" s="35">
        <v>43795</v>
      </c>
      <c r="G17" s="28" t="s">
        <v>16</v>
      </c>
      <c r="H17" s="28" t="s">
        <v>29</v>
      </c>
      <c r="I17" s="28" t="s">
        <v>29</v>
      </c>
      <c r="J17" s="28" t="s">
        <v>22</v>
      </c>
      <c r="K17" s="28" t="s">
        <v>29</v>
      </c>
      <c r="L17" s="36"/>
      <c r="M17" s="37"/>
      <c r="N17" s="37"/>
      <c r="O17" s="37"/>
      <c r="P17" s="37"/>
      <c r="Q17" s="30">
        <v>398000</v>
      </c>
      <c r="R17" s="31" t="e">
        <f t="shared" ref="R17:R18" si="5">$C$2/$D$2</f>
        <v>#DIV/0!</v>
      </c>
      <c r="S17" s="31"/>
      <c r="T17" s="32">
        <f>Q17*S17</f>
        <v>0</v>
      </c>
      <c r="U17" s="38"/>
      <c r="V17" s="82"/>
      <c r="W17" s="124"/>
      <c r="X17" s="125"/>
      <c r="Y17" s="180"/>
      <c r="Z17" s="181"/>
      <c r="AA17" s="70"/>
      <c r="AB17" s="70"/>
    </row>
    <row r="18" spans="1:28" s="86" customFormat="1" ht="82.5" customHeight="1">
      <c r="A18" s="34">
        <v>4</v>
      </c>
      <c r="B18" s="51" t="s">
        <v>48</v>
      </c>
      <c r="C18" s="25" t="s">
        <v>49</v>
      </c>
      <c r="D18" s="26" t="s">
        <v>20</v>
      </c>
      <c r="E18" s="45" t="s">
        <v>68</v>
      </c>
      <c r="F18" s="46">
        <v>43798</v>
      </c>
      <c r="G18" s="47" t="s">
        <v>16</v>
      </c>
      <c r="H18" s="47" t="s">
        <v>29</v>
      </c>
      <c r="I18" s="47" t="s">
        <v>29</v>
      </c>
      <c r="J18" s="47" t="s">
        <v>22</v>
      </c>
      <c r="K18" s="47" t="s">
        <v>29</v>
      </c>
      <c r="L18" s="48"/>
      <c r="M18" s="48"/>
      <c r="N18" s="49"/>
      <c r="O18" s="49"/>
      <c r="P18" s="48"/>
      <c r="Q18" s="30">
        <v>25000</v>
      </c>
      <c r="R18" s="84" t="e">
        <f t="shared" si="5"/>
        <v>#DIV/0!</v>
      </c>
      <c r="S18" s="84"/>
      <c r="T18" s="32">
        <f>Q18*S18</f>
        <v>0</v>
      </c>
      <c r="U18" s="55"/>
      <c r="V18" s="82"/>
      <c r="W18" s="124"/>
      <c r="X18" s="125"/>
      <c r="Y18" s="180"/>
      <c r="Z18" s="181"/>
      <c r="AA18" s="85"/>
      <c r="AB18" s="85"/>
    </row>
    <row r="19" spans="1:28" ht="141" customHeight="1" thickBot="1">
      <c r="A19" s="111">
        <v>5</v>
      </c>
      <c r="B19" s="112" t="s">
        <v>39</v>
      </c>
      <c r="C19" s="113" t="s">
        <v>52</v>
      </c>
      <c r="D19" s="114" t="s">
        <v>20</v>
      </c>
      <c r="E19" s="114" t="s">
        <v>66</v>
      </c>
      <c r="F19" s="115">
        <v>43795</v>
      </c>
      <c r="G19" s="116" t="s">
        <v>35</v>
      </c>
      <c r="H19" s="117" t="s">
        <v>29</v>
      </c>
      <c r="I19" s="117" t="s">
        <v>22</v>
      </c>
      <c r="J19" s="116" t="s">
        <v>72</v>
      </c>
      <c r="K19" s="117" t="s">
        <v>29</v>
      </c>
      <c r="L19" s="118"/>
      <c r="M19" s="119"/>
      <c r="N19" s="119"/>
      <c r="O19" s="119"/>
      <c r="P19" s="119"/>
      <c r="Q19" s="120">
        <v>236046.46</v>
      </c>
      <c r="R19" s="121"/>
      <c r="S19" s="121"/>
      <c r="T19" s="122">
        <f>IF(Q19*R19&lt;159101.73,Q19*R19,159101.73)</f>
        <v>0</v>
      </c>
      <c r="U19" s="123"/>
      <c r="V19" s="82"/>
      <c r="W19" s="124"/>
      <c r="X19" s="125"/>
      <c r="Y19" s="126"/>
      <c r="Z19" s="127"/>
      <c r="AA19" s="70"/>
      <c r="AB19" s="70"/>
    </row>
    <row r="20" spans="1:28">
      <c r="Q20" s="42"/>
    </row>
    <row r="21" spans="1:28">
      <c r="S21" s="42"/>
    </row>
    <row r="22" spans="1:28">
      <c r="Q22" s="42"/>
    </row>
    <row r="25" spans="1:28" ht="18">
      <c r="P25" s="70"/>
      <c r="Q25" s="70"/>
      <c r="R25" s="70"/>
      <c r="S25" s="70"/>
      <c r="T25" s="70"/>
      <c r="U25" s="70"/>
      <c r="V25" s="70"/>
      <c r="W25" s="70"/>
      <c r="X25" s="70"/>
    </row>
    <row r="26" spans="1:28" ht="18">
      <c r="P26" s="70"/>
      <c r="Q26" s="70"/>
      <c r="R26" s="70">
        <v>157531.17000000001</v>
      </c>
      <c r="S26" s="72"/>
      <c r="T26" s="71"/>
      <c r="U26" s="70"/>
      <c r="V26" s="70"/>
      <c r="W26" s="72"/>
      <c r="X26" s="71"/>
    </row>
    <row r="27" spans="1:28" ht="18">
      <c r="P27" s="70"/>
      <c r="Q27" s="70"/>
      <c r="R27" s="71">
        <f>+Q17+Q10+Q6</f>
        <v>896357.61440000008</v>
      </c>
      <c r="S27" s="70"/>
      <c r="T27" s="71"/>
      <c r="U27" s="70"/>
      <c r="V27" s="71"/>
      <c r="W27" s="70"/>
      <c r="X27" s="71"/>
    </row>
    <row r="28" spans="1:28" ht="18">
      <c r="P28" s="70"/>
      <c r="Q28" s="70"/>
      <c r="R28" s="70"/>
      <c r="S28" s="70"/>
      <c r="T28" s="71"/>
      <c r="U28" s="70"/>
      <c r="V28" s="70"/>
      <c r="W28" s="70"/>
      <c r="X28" s="70"/>
    </row>
    <row r="29" spans="1:28" ht="18">
      <c r="P29" s="70"/>
      <c r="Q29" s="70"/>
      <c r="R29" s="70"/>
      <c r="S29" s="70"/>
      <c r="T29" s="70"/>
      <c r="U29" s="70"/>
      <c r="V29" s="70"/>
      <c r="W29" s="70"/>
      <c r="X29" s="70"/>
    </row>
    <row r="30" spans="1:28" ht="18">
      <c r="P30" s="70"/>
      <c r="Q30" s="70"/>
      <c r="R30" s="70"/>
      <c r="S30" s="70"/>
      <c r="T30" s="70"/>
      <c r="U30" s="70"/>
      <c r="V30" s="70"/>
      <c r="W30" s="70"/>
      <c r="X30" s="70"/>
    </row>
    <row r="31" spans="1:28" ht="18">
      <c r="P31" s="70"/>
      <c r="Q31" s="70"/>
      <c r="R31" s="70"/>
      <c r="S31" s="70"/>
      <c r="T31" s="70"/>
      <c r="U31" s="70"/>
      <c r="V31" s="70"/>
      <c r="W31" s="70"/>
      <c r="X31" s="70"/>
    </row>
    <row r="32" spans="1:28" ht="18">
      <c r="P32" s="70"/>
      <c r="Q32" s="70"/>
      <c r="R32" s="70"/>
      <c r="S32" s="70"/>
      <c r="T32" s="70"/>
      <c r="U32" s="70"/>
      <c r="V32" s="70"/>
      <c r="W32" s="70"/>
      <c r="X32" s="70"/>
    </row>
    <row r="33" spans="16:24" ht="18">
      <c r="P33" s="70"/>
      <c r="Q33" s="70"/>
      <c r="R33" s="70"/>
      <c r="S33" s="70"/>
      <c r="T33" s="70"/>
      <c r="U33" s="70"/>
      <c r="V33" s="70"/>
      <c r="W33" s="70"/>
      <c r="X33" s="70"/>
    </row>
    <row r="34" spans="16:24" ht="18">
      <c r="P34" s="70"/>
      <c r="Q34" s="70"/>
      <c r="R34" s="70"/>
      <c r="S34" s="70"/>
      <c r="T34" s="70"/>
      <c r="U34" s="70"/>
      <c r="V34" s="70"/>
      <c r="W34" s="70"/>
      <c r="X34" s="70"/>
    </row>
    <row r="35" spans="16:24" ht="18">
      <c r="P35" s="70"/>
      <c r="Q35" s="70"/>
      <c r="R35" s="70"/>
      <c r="S35" s="70"/>
      <c r="T35" s="70"/>
      <c r="U35" s="70"/>
      <c r="V35" s="70"/>
      <c r="W35" s="70"/>
      <c r="X35" s="70"/>
    </row>
    <row r="36" spans="16:24" ht="18">
      <c r="P36" s="70"/>
      <c r="Q36" s="70"/>
      <c r="R36" s="70"/>
      <c r="S36" s="70"/>
      <c r="T36" s="70"/>
      <c r="U36" s="70"/>
      <c r="V36" s="70"/>
      <c r="W36" s="70"/>
      <c r="X36" s="70"/>
    </row>
    <row r="37" spans="16:24" ht="18">
      <c r="P37" s="70"/>
      <c r="Q37" s="70"/>
      <c r="R37" s="70"/>
      <c r="S37" s="70"/>
      <c r="T37" s="70"/>
      <c r="U37" s="70"/>
      <c r="V37" s="70"/>
      <c r="W37" s="70"/>
      <c r="X37" s="70"/>
    </row>
    <row r="38" spans="16:24" ht="18">
      <c r="P38" s="70"/>
      <c r="Q38" s="70"/>
      <c r="R38" s="70"/>
      <c r="S38" s="70"/>
      <c r="T38" s="70"/>
      <c r="U38" s="70"/>
      <c r="V38" s="70"/>
      <c r="W38" s="70"/>
      <c r="X38" s="70"/>
    </row>
    <row r="39" spans="16:24" ht="18">
      <c r="P39" s="70"/>
      <c r="Q39" s="70"/>
      <c r="R39" s="70"/>
      <c r="S39" s="70"/>
      <c r="T39" s="70"/>
      <c r="U39" s="70"/>
      <c r="V39" s="70"/>
      <c r="W39" s="70"/>
      <c r="X39" s="70"/>
    </row>
    <row r="40" spans="16:24" ht="18">
      <c r="P40" s="70"/>
      <c r="Q40" s="70"/>
      <c r="R40" s="70"/>
      <c r="S40" s="70"/>
      <c r="T40" s="70"/>
      <c r="U40" s="70"/>
      <c r="V40" s="70"/>
      <c r="W40" s="70"/>
      <c r="X40" s="70"/>
    </row>
    <row r="41" spans="16:24" ht="18">
      <c r="P41" s="70"/>
      <c r="Q41" s="70"/>
      <c r="S41" s="70"/>
      <c r="T41" s="70"/>
      <c r="U41" s="70"/>
      <c r="V41" s="70"/>
      <c r="W41" s="70"/>
      <c r="X41" s="70"/>
    </row>
    <row r="42" spans="16:24" ht="18">
      <c r="P42" s="70"/>
      <c r="Q42" s="70"/>
      <c r="R42" s="70"/>
      <c r="S42" s="70"/>
      <c r="T42" s="70"/>
      <c r="U42" s="70"/>
      <c r="V42" s="70"/>
      <c r="W42" s="70"/>
      <c r="X42" s="70"/>
    </row>
    <row r="43" spans="16:24" ht="18">
      <c r="P43" s="70"/>
      <c r="Q43" s="70"/>
      <c r="R43" s="70"/>
      <c r="S43" s="70"/>
      <c r="T43" s="70"/>
      <c r="U43" s="70"/>
      <c r="V43" s="70"/>
      <c r="W43" s="70"/>
      <c r="X43" s="70"/>
    </row>
    <row r="44" spans="16:24" ht="18">
      <c r="P44" s="70"/>
      <c r="Q44" s="70"/>
      <c r="R44" s="70"/>
      <c r="S44" s="70"/>
      <c r="T44" s="70"/>
      <c r="U44" s="70"/>
      <c r="V44" s="70"/>
      <c r="W44" s="70"/>
      <c r="X44" s="70"/>
    </row>
    <row r="45" spans="16:24" ht="18">
      <c r="P45" s="70"/>
      <c r="Q45" s="70"/>
      <c r="R45" s="70"/>
      <c r="S45" s="70"/>
      <c r="T45" s="70"/>
      <c r="U45" s="70"/>
      <c r="V45" s="70"/>
      <c r="W45" s="70"/>
      <c r="X45" s="70"/>
    </row>
    <row r="46" spans="16:24" ht="18">
      <c r="P46" s="70"/>
      <c r="Q46" s="70"/>
      <c r="R46" s="70"/>
      <c r="S46" s="70"/>
      <c r="T46" s="70"/>
      <c r="U46" s="70"/>
      <c r="V46" s="70"/>
      <c r="W46" s="70"/>
      <c r="X46" s="70"/>
    </row>
    <row r="47" spans="16:24" ht="18">
      <c r="P47" s="70"/>
      <c r="Q47" s="70"/>
      <c r="R47" s="70"/>
      <c r="S47" s="70"/>
      <c r="T47" s="70"/>
      <c r="U47" s="70"/>
      <c r="V47" s="70"/>
      <c r="W47" s="70"/>
      <c r="X47" s="70"/>
    </row>
    <row r="48" spans="16:24" ht="18">
      <c r="P48" s="70"/>
      <c r="Q48" s="70"/>
      <c r="R48" s="70"/>
      <c r="S48" s="70"/>
      <c r="T48" s="70"/>
      <c r="U48" s="70"/>
      <c r="V48" s="70"/>
      <c r="W48" s="70"/>
      <c r="X48" s="70"/>
    </row>
    <row r="49" spans="16:24" ht="18">
      <c r="P49" s="70"/>
      <c r="Q49" s="70"/>
      <c r="R49" s="70"/>
      <c r="S49" s="70"/>
      <c r="T49" s="70"/>
      <c r="U49" s="70"/>
      <c r="V49" s="70"/>
      <c r="W49" s="70"/>
      <c r="X49" s="70"/>
    </row>
    <row r="50" spans="16:24" ht="18">
      <c r="P50" s="70"/>
      <c r="Q50" s="70"/>
      <c r="R50" s="70"/>
      <c r="S50" s="70"/>
      <c r="T50" s="70"/>
      <c r="U50" s="70"/>
      <c r="V50" s="70"/>
      <c r="W50" s="70"/>
      <c r="X50" s="70"/>
    </row>
    <row r="51" spans="16:24" ht="18">
      <c r="P51" s="70"/>
      <c r="Q51" s="70"/>
      <c r="R51" s="70"/>
      <c r="S51" s="70"/>
      <c r="T51" s="70"/>
      <c r="U51" s="70"/>
      <c r="V51" s="70"/>
      <c r="W51" s="70"/>
      <c r="X51" s="70"/>
    </row>
    <row r="52" spans="16:24" ht="18">
      <c r="P52" s="70"/>
      <c r="Q52" s="70"/>
      <c r="R52" s="70"/>
      <c r="S52" s="70"/>
      <c r="T52" s="70"/>
      <c r="U52" s="70"/>
      <c r="V52" s="70"/>
      <c r="W52" s="70"/>
      <c r="X52" s="70"/>
    </row>
    <row r="53" spans="16:24" ht="18">
      <c r="P53" s="70"/>
      <c r="Q53" s="70"/>
      <c r="R53" s="70"/>
      <c r="S53" s="70"/>
      <c r="T53" s="70"/>
      <c r="U53" s="70"/>
      <c r="V53" s="70"/>
      <c r="W53" s="70"/>
      <c r="X53" s="70"/>
    </row>
    <row r="54" spans="16:24" ht="18">
      <c r="P54" s="70"/>
      <c r="Q54" s="70"/>
      <c r="R54" s="70"/>
      <c r="S54" s="70"/>
      <c r="T54" s="70"/>
      <c r="U54" s="70"/>
      <c r="V54" s="70"/>
      <c r="W54" s="70"/>
      <c r="X54" s="70"/>
    </row>
    <row r="55" spans="16:24" ht="18">
      <c r="P55" s="70"/>
      <c r="Q55" s="70"/>
      <c r="R55" s="70"/>
      <c r="S55" s="70"/>
      <c r="T55" s="70"/>
      <c r="U55" s="70"/>
      <c r="V55" s="70"/>
      <c r="W55" s="70"/>
      <c r="X55" s="70"/>
    </row>
    <row r="56" spans="16:24" ht="18">
      <c r="P56" s="70"/>
      <c r="Q56" s="70"/>
      <c r="R56" s="70"/>
      <c r="S56" s="70"/>
      <c r="T56" s="70"/>
      <c r="U56" s="70"/>
      <c r="V56" s="70"/>
      <c r="W56" s="70"/>
      <c r="X56" s="70"/>
    </row>
    <row r="57" spans="16:24" ht="18">
      <c r="P57" s="70"/>
      <c r="Q57" s="70"/>
      <c r="R57" s="70"/>
      <c r="S57" s="70"/>
      <c r="T57" s="70"/>
      <c r="U57" s="70"/>
      <c r="V57" s="70"/>
      <c r="W57" s="70"/>
      <c r="X57" s="70"/>
    </row>
    <row r="58" spans="16:24" ht="18">
      <c r="P58" s="70"/>
      <c r="Q58" s="70"/>
      <c r="R58" s="70"/>
      <c r="S58" s="70"/>
      <c r="T58" s="70"/>
      <c r="U58" s="70"/>
      <c r="V58" s="70"/>
      <c r="W58" s="70"/>
      <c r="X58" s="70"/>
    </row>
    <row r="59" spans="16:24" ht="18">
      <c r="P59" s="70"/>
      <c r="Q59" s="70"/>
      <c r="R59" s="70"/>
      <c r="S59" s="70"/>
      <c r="T59" s="70"/>
      <c r="U59" s="70"/>
      <c r="V59" s="70"/>
      <c r="W59" s="70"/>
      <c r="X59" s="70"/>
    </row>
    <row r="60" spans="16:24" ht="18">
      <c r="P60" s="70"/>
      <c r="Q60" s="70"/>
      <c r="R60" s="70"/>
      <c r="S60" s="70"/>
      <c r="T60" s="70"/>
      <c r="U60" s="70"/>
      <c r="V60" s="70"/>
      <c r="W60" s="70"/>
      <c r="X60" s="70"/>
    </row>
    <row r="61" spans="16:24" ht="18">
      <c r="P61" s="70"/>
      <c r="Q61" s="70"/>
      <c r="R61" s="70"/>
      <c r="S61" s="70"/>
      <c r="T61" s="70"/>
      <c r="U61" s="70"/>
      <c r="V61" s="70"/>
      <c r="W61" s="70"/>
      <c r="X61" s="70"/>
    </row>
    <row r="62" spans="16:24" ht="18">
      <c r="P62" s="70"/>
      <c r="Q62" s="70"/>
      <c r="R62" s="70"/>
      <c r="S62" s="70"/>
      <c r="T62" s="70"/>
      <c r="U62" s="70"/>
      <c r="V62" s="70"/>
      <c r="W62" s="70"/>
      <c r="X62" s="70"/>
    </row>
    <row r="63" spans="16:24" ht="18">
      <c r="P63" s="70"/>
      <c r="Q63" s="70"/>
      <c r="R63" s="70"/>
      <c r="S63" s="70"/>
      <c r="T63" s="70"/>
      <c r="U63" s="70"/>
      <c r="V63" s="70"/>
      <c r="W63" s="70"/>
      <c r="X63" s="70"/>
    </row>
    <row r="64" spans="16:24" ht="18">
      <c r="P64" s="70"/>
      <c r="Q64" s="70"/>
      <c r="R64" s="70"/>
      <c r="S64" s="70"/>
      <c r="T64" s="70"/>
      <c r="U64" s="70"/>
      <c r="V64" s="70"/>
      <c r="W64" s="70"/>
      <c r="X64" s="70"/>
    </row>
    <row r="65" spans="16:24" ht="18">
      <c r="P65" s="70"/>
      <c r="Q65" s="70"/>
      <c r="R65" s="70"/>
      <c r="S65" s="70"/>
      <c r="T65" s="70"/>
      <c r="U65" s="70"/>
      <c r="V65" s="70"/>
      <c r="W65" s="70"/>
      <c r="X65" s="70"/>
    </row>
    <row r="66" spans="16:24" ht="18">
      <c r="P66" s="70"/>
      <c r="Q66" s="70"/>
      <c r="R66" s="70"/>
      <c r="S66" s="70"/>
      <c r="T66" s="70"/>
      <c r="U66" s="70"/>
      <c r="V66" s="70"/>
      <c r="W66" s="70"/>
      <c r="X66" s="70"/>
    </row>
    <row r="67" spans="16:24" ht="18">
      <c r="P67" s="70"/>
      <c r="Q67" s="70"/>
      <c r="R67" s="70"/>
      <c r="S67" s="70"/>
      <c r="T67" s="70"/>
      <c r="U67" s="70"/>
      <c r="V67" s="70"/>
      <c r="W67" s="70"/>
      <c r="X67" s="70"/>
    </row>
  </sheetData>
  <mergeCells count="6">
    <mergeCell ref="A14:U14"/>
    <mergeCell ref="A1:U1"/>
    <mergeCell ref="A5:U5"/>
    <mergeCell ref="A12:D12"/>
    <mergeCell ref="AA7:AB7"/>
    <mergeCell ref="L6:N6"/>
  </mergeCells>
  <printOptions horizontalCentered="1"/>
  <pageMargins left="0.43307086614173229" right="0.35433070866141736" top="0.43307086614173229" bottom="0.43307086614173229" header="0.31496062992125984" footer="0.31496062992125984"/>
  <pageSetup paperSize="8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25"/>
  <sheetViews>
    <sheetView topLeftCell="A10" zoomScale="70" zoomScaleNormal="70" workbookViewId="0">
      <selection activeCell="Q8" sqref="Q8"/>
    </sheetView>
  </sheetViews>
  <sheetFormatPr defaultColWidth="9" defaultRowHeight="14.25"/>
  <cols>
    <col min="1" max="1" width="5" style="1" customWidth="1"/>
    <col min="2" max="2" width="48.5" style="1" customWidth="1"/>
    <col min="3" max="3" width="47.625" style="1" customWidth="1"/>
    <col min="4" max="4" width="24.75" style="1" hidden="1" customWidth="1"/>
    <col min="5" max="5" width="14.125" style="1" hidden="1" customWidth="1"/>
    <col min="6" max="6" width="13.75" style="1" hidden="1" customWidth="1"/>
    <col min="7" max="7" width="17.625" style="1" hidden="1" customWidth="1"/>
    <col min="8" max="8" width="15.75" style="1" hidden="1" customWidth="1"/>
    <col min="9" max="10" width="17.125" style="1" hidden="1" customWidth="1"/>
    <col min="11" max="11" width="10.375" style="1" hidden="1" customWidth="1"/>
    <col min="12" max="12" width="18.625" style="1" hidden="1" customWidth="1"/>
    <col min="13" max="13" width="20.375" style="1" customWidth="1"/>
    <col min="14" max="15" width="19" style="1" customWidth="1"/>
    <col min="16" max="16" width="18.625" style="1" customWidth="1"/>
    <col min="17" max="17" width="25.75" style="1" customWidth="1"/>
    <col min="18" max="16384" width="9" style="1"/>
  </cols>
  <sheetData>
    <row r="1" spans="1:17" ht="77.25" customHeight="1">
      <c r="A1" s="238" t="s">
        <v>118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</row>
    <row r="2" spans="1:17" ht="20.25">
      <c r="A2" s="2"/>
      <c r="B2" s="3">
        <f>800000-39.04-187.54</f>
        <v>799773.41999999993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6"/>
      <c r="P2" s="7"/>
      <c r="Q2" s="8"/>
    </row>
    <row r="3" spans="1:17" ht="18.75" thickBot="1">
      <c r="A3" s="9"/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3"/>
      <c r="N3" s="14"/>
      <c r="O3" s="14"/>
      <c r="P3" s="15"/>
      <c r="Q3" s="15"/>
    </row>
    <row r="4" spans="1:17" ht="63.75" thickBot="1">
      <c r="A4" s="16" t="s">
        <v>0</v>
      </c>
      <c r="B4" s="17" t="s">
        <v>1</v>
      </c>
      <c r="C4" s="17" t="s">
        <v>2</v>
      </c>
      <c r="D4" s="18" t="s">
        <v>3</v>
      </c>
      <c r="E4" s="18" t="s">
        <v>4</v>
      </c>
      <c r="F4" s="18" t="s">
        <v>23</v>
      </c>
      <c r="G4" s="18" t="s">
        <v>5</v>
      </c>
      <c r="H4" s="19" t="s">
        <v>6</v>
      </c>
      <c r="I4" s="19" t="s">
        <v>7</v>
      </c>
      <c r="J4" s="19" t="s">
        <v>8</v>
      </c>
      <c r="K4" s="20" t="s">
        <v>9</v>
      </c>
      <c r="L4" s="18" t="s">
        <v>10</v>
      </c>
      <c r="M4" s="18" t="s">
        <v>11</v>
      </c>
      <c r="N4" s="21" t="s">
        <v>24</v>
      </c>
      <c r="O4" s="21" t="s">
        <v>12</v>
      </c>
      <c r="P4" s="18" t="s">
        <v>13</v>
      </c>
      <c r="Q4" s="22" t="s">
        <v>14</v>
      </c>
    </row>
    <row r="5" spans="1:17" ht="15.75">
      <c r="A5" s="265" t="s">
        <v>15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7"/>
    </row>
    <row r="6" spans="1:17" ht="101.25" customHeight="1">
      <c r="A6" s="23">
        <v>3</v>
      </c>
      <c r="B6" s="24" t="s">
        <v>31</v>
      </c>
      <c r="C6" s="25" t="s">
        <v>32</v>
      </c>
      <c r="D6" s="26" t="s">
        <v>20</v>
      </c>
      <c r="E6" s="27">
        <v>43791</v>
      </c>
      <c r="F6" s="28" t="s">
        <v>16</v>
      </c>
      <c r="G6" s="28" t="s">
        <v>29</v>
      </c>
      <c r="H6" s="29">
        <v>367927.1</v>
      </c>
      <c r="I6" s="29">
        <v>491072.06</v>
      </c>
      <c r="J6" s="29">
        <v>151147.66</v>
      </c>
      <c r="K6" s="33"/>
      <c r="L6" s="29" t="s">
        <v>30</v>
      </c>
      <c r="M6" s="30">
        <v>1242480.5900000001</v>
      </c>
      <c r="N6" s="31">
        <f>$B$2/SUM(M$7:M$16)</f>
        <v>0.31477267828129596</v>
      </c>
      <c r="O6" s="31">
        <f>P6/M6</f>
        <v>0.12805168248141405</v>
      </c>
      <c r="P6" s="32">
        <f>IF(M6*N6&lt;159101.73,M6*N6,159101.73)</f>
        <v>159101.73000000001</v>
      </c>
      <c r="Q6" s="53"/>
    </row>
    <row r="7" spans="1:17" ht="102.75" customHeight="1">
      <c r="A7" s="23">
        <v>1</v>
      </c>
      <c r="B7" s="24" t="s">
        <v>19</v>
      </c>
      <c r="C7" s="25" t="s">
        <v>25</v>
      </c>
      <c r="D7" s="26" t="s">
        <v>20</v>
      </c>
      <c r="E7" s="27">
        <v>43749</v>
      </c>
      <c r="F7" s="28" t="s">
        <v>16</v>
      </c>
      <c r="G7" s="28" t="s">
        <v>22</v>
      </c>
      <c r="H7" s="29" t="s">
        <v>18</v>
      </c>
      <c r="I7" s="29" t="s">
        <v>18</v>
      </c>
      <c r="J7" s="29" t="s">
        <v>18</v>
      </c>
      <c r="K7" s="33" t="s">
        <v>17</v>
      </c>
      <c r="L7" s="29" t="s">
        <v>18</v>
      </c>
      <c r="M7" s="30">
        <v>502882.07</v>
      </c>
      <c r="N7" s="31">
        <f>$B$2/SUM(M$7:M$16)</f>
        <v>0.31477267828129596</v>
      </c>
      <c r="O7" s="31">
        <f>P7/M7</f>
        <v>0.31477267828129596</v>
      </c>
      <c r="P7" s="32">
        <f>IF(M7*N7&lt;159101.73,M7*N7,159101.73)</f>
        <v>158293.53603354216</v>
      </c>
      <c r="Q7" s="54"/>
    </row>
    <row r="8" spans="1:17" ht="101.25" customHeight="1">
      <c r="A8" s="34">
        <v>2</v>
      </c>
      <c r="B8" s="24" t="s">
        <v>26</v>
      </c>
      <c r="C8" s="25" t="s">
        <v>117</v>
      </c>
      <c r="D8" s="26" t="s">
        <v>27</v>
      </c>
      <c r="E8" s="27">
        <v>43787</v>
      </c>
      <c r="F8" s="28" t="s">
        <v>28</v>
      </c>
      <c r="G8" s="28" t="s">
        <v>29</v>
      </c>
      <c r="H8" s="33" t="s">
        <v>17</v>
      </c>
      <c r="I8" s="33" t="s">
        <v>17</v>
      </c>
      <c r="J8" s="29">
        <f>98400*1.23</f>
        <v>121032</v>
      </c>
      <c r="K8" s="33"/>
      <c r="L8" s="29">
        <f>3000*1.23</f>
        <v>3690</v>
      </c>
      <c r="M8" s="30">
        <v>124722</v>
      </c>
      <c r="N8" s="31">
        <f t="shared" ref="N8:N16" si="0">$B$2/SUM(M$7:M$16)</f>
        <v>0.31477267828129596</v>
      </c>
      <c r="O8" s="31">
        <f t="shared" ref="O8:O16" si="1">P8/M8</f>
        <v>0.31477267828129596</v>
      </c>
      <c r="P8" s="32">
        <f t="shared" ref="P8:P16" si="2">IF(M8*N8&lt;159101.73,M8*N8,159101.73)</f>
        <v>39259.077980599795</v>
      </c>
      <c r="Q8" s="53"/>
    </row>
    <row r="9" spans="1:17" ht="101.25" customHeight="1">
      <c r="A9" s="34">
        <v>4</v>
      </c>
      <c r="B9" s="24" t="s">
        <v>33</v>
      </c>
      <c r="C9" s="25" t="s">
        <v>34</v>
      </c>
      <c r="D9" s="26" t="s">
        <v>27</v>
      </c>
      <c r="E9" s="27">
        <v>43795</v>
      </c>
      <c r="F9" s="28" t="s">
        <v>35</v>
      </c>
      <c r="G9" s="28" t="s">
        <v>29</v>
      </c>
      <c r="H9" s="29"/>
      <c r="I9" s="29"/>
      <c r="J9" s="29"/>
      <c r="K9" s="33"/>
      <c r="L9" s="29"/>
      <c r="M9" s="30">
        <v>369392.5</v>
      </c>
      <c r="N9" s="31">
        <f t="shared" si="0"/>
        <v>0.31477267828129596</v>
      </c>
      <c r="O9" s="31">
        <f t="shared" si="1"/>
        <v>0.31477267828129596</v>
      </c>
      <c r="P9" s="32">
        <f t="shared" si="2"/>
        <v>116274.66656202362</v>
      </c>
      <c r="Q9" s="53"/>
    </row>
    <row r="10" spans="1:17" ht="141" customHeight="1">
      <c r="A10" s="23">
        <v>5</v>
      </c>
      <c r="B10" s="24" t="s">
        <v>36</v>
      </c>
      <c r="C10" s="25" t="s">
        <v>37</v>
      </c>
      <c r="D10" s="26" t="s">
        <v>38</v>
      </c>
      <c r="E10" s="35">
        <v>43795</v>
      </c>
      <c r="F10" s="28" t="s">
        <v>16</v>
      </c>
      <c r="G10" s="28" t="s">
        <v>29</v>
      </c>
      <c r="H10" s="36"/>
      <c r="I10" s="37"/>
      <c r="J10" s="37"/>
      <c r="K10" s="37"/>
      <c r="L10" s="37"/>
      <c r="M10" s="30">
        <v>398000</v>
      </c>
      <c r="N10" s="31">
        <f t="shared" si="0"/>
        <v>0.31477267828129596</v>
      </c>
      <c r="O10" s="31">
        <f t="shared" si="1"/>
        <v>0.31477267828129596</v>
      </c>
      <c r="P10" s="32">
        <f t="shared" si="2"/>
        <v>125279.52595595579</v>
      </c>
      <c r="Q10" s="38"/>
    </row>
    <row r="11" spans="1:17" ht="141" customHeight="1">
      <c r="A11" s="34">
        <v>6</v>
      </c>
      <c r="B11" s="51" t="s">
        <v>39</v>
      </c>
      <c r="C11" s="62" t="s">
        <v>52</v>
      </c>
      <c r="D11" s="26" t="s">
        <v>20</v>
      </c>
      <c r="E11" s="58">
        <v>43795</v>
      </c>
      <c r="F11" s="47" t="s">
        <v>28</v>
      </c>
      <c r="G11" s="47" t="s">
        <v>29</v>
      </c>
      <c r="H11" s="59"/>
      <c r="I11" s="60"/>
      <c r="J11" s="60"/>
      <c r="K11" s="60"/>
      <c r="L11" s="60"/>
      <c r="M11" s="30">
        <v>236046.46</v>
      </c>
      <c r="N11" s="31">
        <f t="shared" si="0"/>
        <v>0.31477267828129596</v>
      </c>
      <c r="O11" s="31">
        <f t="shared" si="1"/>
        <v>0.31477267828129596</v>
      </c>
      <c r="P11" s="32">
        <f t="shared" si="2"/>
        <v>74300.976413018798</v>
      </c>
      <c r="Q11" s="61"/>
    </row>
    <row r="12" spans="1:17" ht="141" customHeight="1">
      <c r="A12" s="23">
        <v>7</v>
      </c>
      <c r="B12" s="51" t="s">
        <v>40</v>
      </c>
      <c r="C12" s="44" t="s">
        <v>41</v>
      </c>
      <c r="D12" s="26" t="s">
        <v>27</v>
      </c>
      <c r="E12" s="58">
        <v>43796</v>
      </c>
      <c r="F12" s="47"/>
      <c r="G12" s="47"/>
      <c r="H12" s="59"/>
      <c r="I12" s="60"/>
      <c r="J12" s="60"/>
      <c r="K12" s="60"/>
      <c r="L12" s="60"/>
      <c r="M12" s="30">
        <v>407076.34</v>
      </c>
      <c r="N12" s="31">
        <f t="shared" si="0"/>
        <v>0.31477267828129596</v>
      </c>
      <c r="O12" s="31">
        <f t="shared" si="1"/>
        <v>0.31477267828129596</v>
      </c>
      <c r="P12" s="32">
        <f t="shared" si="2"/>
        <v>128136.50980674746</v>
      </c>
      <c r="Q12" s="61"/>
    </row>
    <row r="13" spans="1:17" ht="141" customHeight="1">
      <c r="A13" s="34">
        <v>8</v>
      </c>
      <c r="B13" s="51" t="s">
        <v>42</v>
      </c>
      <c r="C13" s="44" t="s">
        <v>91</v>
      </c>
      <c r="D13" s="26" t="s">
        <v>27</v>
      </c>
      <c r="E13" s="58">
        <v>43797</v>
      </c>
      <c r="F13" s="47"/>
      <c r="G13" s="47"/>
      <c r="H13" s="59"/>
      <c r="I13" s="60"/>
      <c r="J13" s="60"/>
      <c r="K13" s="60"/>
      <c r="L13" s="60"/>
      <c r="M13" s="30">
        <f>355000*1.23</f>
        <v>436650</v>
      </c>
      <c r="N13" s="31">
        <f t="shared" si="0"/>
        <v>0.31477267828129596</v>
      </c>
      <c r="O13" s="31">
        <f t="shared" si="1"/>
        <v>0.31477267828129596</v>
      </c>
      <c r="P13" s="32">
        <f t="shared" si="2"/>
        <v>137445.48997152789</v>
      </c>
      <c r="Q13" s="61"/>
    </row>
    <row r="14" spans="1:17" ht="141" customHeight="1">
      <c r="A14" s="23">
        <v>9</v>
      </c>
      <c r="B14" s="51" t="s">
        <v>45</v>
      </c>
      <c r="C14" s="44" t="s">
        <v>90</v>
      </c>
      <c r="D14" s="26" t="s">
        <v>27</v>
      </c>
      <c r="E14" s="58">
        <v>43797</v>
      </c>
      <c r="F14" s="47"/>
      <c r="G14" s="47"/>
      <c r="H14" s="59"/>
      <c r="I14" s="60"/>
      <c r="J14" s="60"/>
      <c r="K14" s="60"/>
      <c r="L14" s="60"/>
      <c r="M14" s="30">
        <v>31078.22</v>
      </c>
      <c r="N14" s="31">
        <f t="shared" si="0"/>
        <v>0.31477267828129596</v>
      </c>
      <c r="O14" s="31">
        <f t="shared" si="1"/>
        <v>0.31477267828129596</v>
      </c>
      <c r="P14" s="32">
        <f t="shared" si="2"/>
        <v>9782.5745456153381</v>
      </c>
      <c r="Q14" s="61"/>
    </row>
    <row r="15" spans="1:17" ht="141" customHeight="1">
      <c r="A15" s="34">
        <v>10</v>
      </c>
      <c r="B15" s="51" t="s">
        <v>45</v>
      </c>
      <c r="C15" s="44" t="s">
        <v>89</v>
      </c>
      <c r="D15" s="45" t="s">
        <v>47</v>
      </c>
      <c r="E15" s="46">
        <v>43797</v>
      </c>
      <c r="F15" s="47"/>
      <c r="G15" s="47"/>
      <c r="H15" s="48"/>
      <c r="I15" s="48"/>
      <c r="J15" s="49"/>
      <c r="K15" s="49"/>
      <c r="L15" s="48"/>
      <c r="M15" s="30">
        <v>9949.23</v>
      </c>
      <c r="N15" s="43">
        <f t="shared" si="0"/>
        <v>0.31477267828129596</v>
      </c>
      <c r="O15" s="31">
        <f t="shared" si="1"/>
        <v>0.31477267828129596</v>
      </c>
      <c r="P15" s="50">
        <f t="shared" si="2"/>
        <v>3131.7457739366182</v>
      </c>
      <c r="Q15" s="61"/>
    </row>
    <row r="16" spans="1:17" ht="82.5" customHeight="1" thickBot="1">
      <c r="A16" s="34">
        <v>11</v>
      </c>
      <c r="B16" s="51" t="s">
        <v>48</v>
      </c>
      <c r="C16" s="25" t="s">
        <v>49</v>
      </c>
      <c r="D16" s="26" t="s">
        <v>20</v>
      </c>
      <c r="E16" s="46">
        <v>43798</v>
      </c>
      <c r="F16" s="47"/>
      <c r="G16" s="47"/>
      <c r="H16" s="48"/>
      <c r="I16" s="48"/>
      <c r="J16" s="49"/>
      <c r="K16" s="49"/>
      <c r="L16" s="48"/>
      <c r="M16" s="30">
        <v>25000</v>
      </c>
      <c r="N16" s="43">
        <f t="shared" si="0"/>
        <v>0.31477267828129596</v>
      </c>
      <c r="O16" s="31">
        <f t="shared" si="1"/>
        <v>0.31477267828129596</v>
      </c>
      <c r="P16" s="50">
        <f t="shared" si="2"/>
        <v>7869.3169570323989</v>
      </c>
      <c r="Q16" s="55"/>
    </row>
    <row r="17" spans="1:17" ht="39" customHeight="1" thickBot="1">
      <c r="A17" s="243" t="s">
        <v>21</v>
      </c>
      <c r="B17" s="244"/>
      <c r="C17" s="244"/>
      <c r="D17" s="245"/>
      <c r="E17" s="39"/>
      <c r="F17" s="39"/>
      <c r="G17" s="39"/>
      <c r="H17" s="39"/>
      <c r="I17" s="39"/>
      <c r="J17" s="39"/>
      <c r="K17" s="39"/>
      <c r="L17" s="39"/>
      <c r="M17" s="40">
        <f>SUM(M7:M16)</f>
        <v>2540796.8200000003</v>
      </c>
      <c r="N17" s="41"/>
      <c r="O17" s="52"/>
      <c r="P17" s="56">
        <f>SUM(P7:P16)</f>
        <v>799773.41999999981</v>
      </c>
      <c r="Q17" s="57"/>
    </row>
    <row r="19" spans="1:17" ht="18">
      <c r="A19" s="246"/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</row>
    <row r="23" spans="1:17">
      <c r="M23" s="42"/>
    </row>
    <row r="24" spans="1:17">
      <c r="O24" s="42"/>
    </row>
    <row r="25" spans="1:17">
      <c r="M25" s="42"/>
    </row>
  </sheetData>
  <mergeCells count="4">
    <mergeCell ref="A1:Q1"/>
    <mergeCell ref="A5:Q5"/>
    <mergeCell ref="A17:D17"/>
    <mergeCell ref="A19:Q19"/>
  </mergeCells>
  <pageMargins left="0.7" right="0.7" top="0.75" bottom="0.75" header="0.3" footer="0.3"/>
  <pageSetup paperSize="9" orientation="portrait" horizont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24"/>
  <sheetViews>
    <sheetView topLeftCell="A13" zoomScale="55" zoomScaleNormal="55" workbookViewId="0">
      <selection activeCell="N6" sqref="N6"/>
    </sheetView>
  </sheetViews>
  <sheetFormatPr defaultColWidth="9" defaultRowHeight="14.25"/>
  <cols>
    <col min="1" max="1" width="5" style="1" customWidth="1"/>
    <col min="2" max="2" width="48.5" style="1" customWidth="1"/>
    <col min="3" max="3" width="47.625" style="1" customWidth="1"/>
    <col min="4" max="4" width="24.75" style="1" hidden="1" customWidth="1"/>
    <col min="5" max="5" width="14.125" style="1" hidden="1" customWidth="1"/>
    <col min="6" max="6" width="13.75" style="1" hidden="1" customWidth="1"/>
    <col min="7" max="7" width="17.625" style="1" hidden="1" customWidth="1"/>
    <col min="8" max="8" width="15.75" style="1" hidden="1" customWidth="1"/>
    <col min="9" max="10" width="17.125" style="1" hidden="1" customWidth="1"/>
    <col min="11" max="11" width="10.375" style="1" hidden="1" customWidth="1"/>
    <col min="12" max="12" width="18.625" style="1" hidden="1" customWidth="1"/>
    <col min="13" max="13" width="20.375" style="1" customWidth="1"/>
    <col min="14" max="15" width="19" style="1" customWidth="1"/>
    <col min="16" max="16" width="18.625" style="1" customWidth="1"/>
    <col min="17" max="17" width="25.75" style="1" customWidth="1"/>
    <col min="18" max="16384" width="9" style="1"/>
  </cols>
  <sheetData>
    <row r="1" spans="1:17" ht="77.25" customHeight="1">
      <c r="A1" s="238" t="s">
        <v>118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</row>
    <row r="2" spans="1:17" ht="20.25">
      <c r="A2" s="2"/>
      <c r="B2" s="3">
        <f>800000-39.04-187.52</f>
        <v>799773.44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6"/>
      <c r="P2" s="7"/>
      <c r="Q2" s="8"/>
    </row>
    <row r="3" spans="1:17" ht="18.75" thickBot="1">
      <c r="A3" s="9"/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3"/>
      <c r="N3" s="14"/>
      <c r="O3" s="14"/>
      <c r="P3" s="15"/>
      <c r="Q3" s="15"/>
    </row>
    <row r="4" spans="1:17" ht="63.75" thickBot="1">
      <c r="A4" s="16" t="s">
        <v>0</v>
      </c>
      <c r="B4" s="17" t="s">
        <v>1</v>
      </c>
      <c r="C4" s="17" t="s">
        <v>2</v>
      </c>
      <c r="D4" s="18" t="s">
        <v>3</v>
      </c>
      <c r="E4" s="18" t="s">
        <v>4</v>
      </c>
      <c r="F4" s="18" t="s">
        <v>23</v>
      </c>
      <c r="G4" s="18" t="s">
        <v>5</v>
      </c>
      <c r="H4" s="19" t="s">
        <v>6</v>
      </c>
      <c r="I4" s="19" t="s">
        <v>7</v>
      </c>
      <c r="J4" s="19" t="s">
        <v>8</v>
      </c>
      <c r="K4" s="20" t="s">
        <v>9</v>
      </c>
      <c r="L4" s="18" t="s">
        <v>10</v>
      </c>
      <c r="M4" s="18" t="s">
        <v>11</v>
      </c>
      <c r="N4" s="21" t="s">
        <v>24</v>
      </c>
      <c r="O4" s="21" t="s">
        <v>12</v>
      </c>
      <c r="P4" s="18" t="s">
        <v>13</v>
      </c>
      <c r="Q4" s="22" t="s">
        <v>14</v>
      </c>
    </row>
    <row r="5" spans="1:17" ht="15.75">
      <c r="A5" s="265" t="s">
        <v>15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7"/>
    </row>
    <row r="6" spans="1:17" ht="101.25" customHeight="1">
      <c r="A6" s="23">
        <v>3</v>
      </c>
      <c r="B6" s="24" t="s">
        <v>31</v>
      </c>
      <c r="C6" s="25" t="s">
        <v>32</v>
      </c>
      <c r="D6" s="26" t="s">
        <v>20</v>
      </c>
      <c r="E6" s="27">
        <v>43791</v>
      </c>
      <c r="F6" s="28" t="s">
        <v>16</v>
      </c>
      <c r="G6" s="28" t="s">
        <v>29</v>
      </c>
      <c r="H6" s="29">
        <v>367927.1</v>
      </c>
      <c r="I6" s="29">
        <v>491072.06</v>
      </c>
      <c r="J6" s="29">
        <v>151147.66</v>
      </c>
      <c r="K6" s="33"/>
      <c r="L6" s="29" t="s">
        <v>30</v>
      </c>
      <c r="M6" s="30">
        <v>1242480.5900000001</v>
      </c>
      <c r="N6" s="31">
        <f t="shared" ref="N6:N15" si="0">$B$2/SUM(M$7:M$15)</f>
        <v>0.31601011580472133</v>
      </c>
      <c r="O6" s="31">
        <v>0.128</v>
      </c>
      <c r="P6" s="32">
        <f>+M6*O6</f>
        <v>159037.51552000002</v>
      </c>
      <c r="Q6" s="53"/>
    </row>
    <row r="7" spans="1:17" ht="102.75" customHeight="1">
      <c r="A7" s="23">
        <v>1</v>
      </c>
      <c r="B7" s="24" t="s">
        <v>19</v>
      </c>
      <c r="C7" s="25" t="s">
        <v>25</v>
      </c>
      <c r="D7" s="26" t="s">
        <v>20</v>
      </c>
      <c r="E7" s="27">
        <v>43749</v>
      </c>
      <c r="F7" s="28" t="s">
        <v>16</v>
      </c>
      <c r="G7" s="28" t="s">
        <v>22</v>
      </c>
      <c r="H7" s="29" t="s">
        <v>18</v>
      </c>
      <c r="I7" s="29" t="s">
        <v>18</v>
      </c>
      <c r="J7" s="29" t="s">
        <v>18</v>
      </c>
      <c r="K7" s="33" t="s">
        <v>17</v>
      </c>
      <c r="L7" s="29" t="s">
        <v>18</v>
      </c>
      <c r="M7" s="30">
        <v>502882.07</v>
      </c>
      <c r="N7" s="31">
        <f t="shared" si="0"/>
        <v>0.31601011580472133</v>
      </c>
      <c r="O7" s="31">
        <v>0.31619999999999998</v>
      </c>
      <c r="P7" s="32">
        <f>+M7*O7</f>
        <v>159011.31053399999</v>
      </c>
      <c r="Q7" s="54"/>
    </row>
    <row r="8" spans="1:17" ht="101.25" customHeight="1">
      <c r="A8" s="34">
        <v>2</v>
      </c>
      <c r="B8" s="24" t="s">
        <v>26</v>
      </c>
      <c r="C8" s="25" t="s">
        <v>117</v>
      </c>
      <c r="D8" s="26" t="s">
        <v>27</v>
      </c>
      <c r="E8" s="27">
        <v>43787</v>
      </c>
      <c r="F8" s="28" t="s">
        <v>28</v>
      </c>
      <c r="G8" s="28" t="s">
        <v>29</v>
      </c>
      <c r="H8" s="33" t="s">
        <v>17</v>
      </c>
      <c r="I8" s="33" t="s">
        <v>17</v>
      </c>
      <c r="J8" s="29">
        <f>98400*1.23</f>
        <v>121032</v>
      </c>
      <c r="K8" s="33"/>
      <c r="L8" s="29">
        <f>3000*1.23</f>
        <v>3690</v>
      </c>
      <c r="M8" s="30">
        <v>124722</v>
      </c>
      <c r="N8" s="31">
        <f t="shared" si="0"/>
        <v>0.31601011580472133</v>
      </c>
      <c r="O8" s="31">
        <v>0.31819999999999998</v>
      </c>
      <c r="P8" s="32">
        <f t="shared" ref="P8:P15" si="1">+M8*O8</f>
        <v>39686.540399999998</v>
      </c>
      <c r="Q8" s="53"/>
    </row>
    <row r="9" spans="1:17" ht="101.25" customHeight="1">
      <c r="A9" s="34">
        <v>4</v>
      </c>
      <c r="B9" s="24" t="s">
        <v>33</v>
      </c>
      <c r="C9" s="25" t="s">
        <v>34</v>
      </c>
      <c r="D9" s="26" t="s">
        <v>27</v>
      </c>
      <c r="E9" s="27">
        <v>43795</v>
      </c>
      <c r="F9" s="28" t="s">
        <v>35</v>
      </c>
      <c r="G9" s="28" t="s">
        <v>29</v>
      </c>
      <c r="H9" s="29"/>
      <c r="I9" s="29"/>
      <c r="J9" s="29"/>
      <c r="K9" s="33"/>
      <c r="L9" s="29"/>
      <c r="M9" s="30">
        <v>369392.5</v>
      </c>
      <c r="N9" s="31">
        <f t="shared" si="0"/>
        <v>0.31601011580472133</v>
      </c>
      <c r="O9" s="31">
        <v>0.31819999999999998</v>
      </c>
      <c r="P9" s="32">
        <f t="shared" si="1"/>
        <v>117540.69349999999</v>
      </c>
      <c r="Q9" s="53"/>
    </row>
    <row r="10" spans="1:17" ht="141" customHeight="1">
      <c r="A10" s="23">
        <v>5</v>
      </c>
      <c r="B10" s="24" t="s">
        <v>36</v>
      </c>
      <c r="C10" s="25" t="s">
        <v>37</v>
      </c>
      <c r="D10" s="26" t="s">
        <v>38</v>
      </c>
      <c r="E10" s="35">
        <v>43795</v>
      </c>
      <c r="F10" s="28" t="s">
        <v>16</v>
      </c>
      <c r="G10" s="28" t="s">
        <v>29</v>
      </c>
      <c r="H10" s="36"/>
      <c r="I10" s="37"/>
      <c r="J10" s="37"/>
      <c r="K10" s="37"/>
      <c r="L10" s="37"/>
      <c r="M10" s="30">
        <v>398000</v>
      </c>
      <c r="N10" s="31">
        <f t="shared" si="0"/>
        <v>0.31601011580472133</v>
      </c>
      <c r="O10" s="31">
        <v>0.31819999999999998</v>
      </c>
      <c r="P10" s="32">
        <f t="shared" si="1"/>
        <v>126643.59999999999</v>
      </c>
      <c r="Q10" s="38"/>
    </row>
    <row r="11" spans="1:17" ht="141" customHeight="1">
      <c r="A11" s="34">
        <v>6</v>
      </c>
      <c r="B11" s="51" t="s">
        <v>39</v>
      </c>
      <c r="C11" s="62" t="s">
        <v>52</v>
      </c>
      <c r="D11" s="26" t="s">
        <v>20</v>
      </c>
      <c r="E11" s="58">
        <v>43795</v>
      </c>
      <c r="F11" s="47" t="s">
        <v>28</v>
      </c>
      <c r="G11" s="47" t="s">
        <v>29</v>
      </c>
      <c r="H11" s="59"/>
      <c r="I11" s="60"/>
      <c r="J11" s="60"/>
      <c r="K11" s="60"/>
      <c r="L11" s="60"/>
      <c r="M11" s="30">
        <v>236046.46</v>
      </c>
      <c r="N11" s="31">
        <f t="shared" si="0"/>
        <v>0.31601011580472133</v>
      </c>
      <c r="O11" s="31">
        <v>0.31819999999999998</v>
      </c>
      <c r="P11" s="32">
        <f t="shared" si="1"/>
        <v>75109.983571999997</v>
      </c>
      <c r="Q11" s="61"/>
    </row>
    <row r="12" spans="1:17" ht="141" customHeight="1">
      <c r="A12" s="23">
        <v>7</v>
      </c>
      <c r="B12" s="51" t="s">
        <v>40</v>
      </c>
      <c r="C12" s="44" t="s">
        <v>41</v>
      </c>
      <c r="D12" s="26" t="s">
        <v>27</v>
      </c>
      <c r="E12" s="58">
        <v>43796</v>
      </c>
      <c r="F12" s="47"/>
      <c r="G12" s="47"/>
      <c r="H12" s="59"/>
      <c r="I12" s="60"/>
      <c r="J12" s="60"/>
      <c r="K12" s="60"/>
      <c r="L12" s="60"/>
      <c r="M12" s="30">
        <v>407076.34</v>
      </c>
      <c r="N12" s="31">
        <f t="shared" si="0"/>
        <v>0.31601011580472133</v>
      </c>
      <c r="O12" s="31">
        <f t="shared" ref="O12:O15" si="2">+O11</f>
        <v>0.31819999999999998</v>
      </c>
      <c r="P12" s="32">
        <f t="shared" si="1"/>
        <v>129531.69138800001</v>
      </c>
      <c r="Q12" s="61"/>
    </row>
    <row r="13" spans="1:17" ht="141" customHeight="1">
      <c r="A13" s="34">
        <v>8</v>
      </c>
      <c r="B13" s="51" t="s">
        <v>42</v>
      </c>
      <c r="C13" s="44" t="s">
        <v>43</v>
      </c>
      <c r="D13" s="26" t="s">
        <v>27</v>
      </c>
      <c r="E13" s="58">
        <v>43797</v>
      </c>
      <c r="F13" s="47"/>
      <c r="G13" s="47"/>
      <c r="H13" s="59"/>
      <c r="I13" s="60"/>
      <c r="J13" s="60"/>
      <c r="K13" s="60"/>
      <c r="L13" s="60"/>
      <c r="M13" s="30">
        <f>355000*1.23</f>
        <v>436650</v>
      </c>
      <c r="N13" s="31">
        <f t="shared" si="0"/>
        <v>0.31601011580472133</v>
      </c>
      <c r="O13" s="31">
        <f t="shared" si="2"/>
        <v>0.31819999999999998</v>
      </c>
      <c r="P13" s="32">
        <f t="shared" si="1"/>
        <v>138942.03</v>
      </c>
      <c r="Q13" s="61"/>
    </row>
    <row r="14" spans="1:17" ht="141" customHeight="1">
      <c r="A14" s="23">
        <v>9</v>
      </c>
      <c r="B14" s="51" t="s">
        <v>45</v>
      </c>
      <c r="C14" s="44" t="s">
        <v>44</v>
      </c>
      <c r="D14" s="26" t="s">
        <v>27</v>
      </c>
      <c r="E14" s="58">
        <v>43797</v>
      </c>
      <c r="F14" s="47"/>
      <c r="G14" s="47"/>
      <c r="H14" s="59"/>
      <c r="I14" s="60"/>
      <c r="J14" s="60"/>
      <c r="K14" s="60"/>
      <c r="L14" s="60"/>
      <c r="M14" s="30">
        <v>31078.22</v>
      </c>
      <c r="N14" s="31">
        <f t="shared" si="0"/>
        <v>0.31601011580472133</v>
      </c>
      <c r="O14" s="31">
        <f t="shared" si="2"/>
        <v>0.31819999999999998</v>
      </c>
      <c r="P14" s="32">
        <f t="shared" si="1"/>
        <v>9889.0896040000007</v>
      </c>
      <c r="Q14" s="61"/>
    </row>
    <row r="15" spans="1:17" ht="82.5" customHeight="1" thickBot="1">
      <c r="A15" s="34">
        <v>11</v>
      </c>
      <c r="B15" s="51" t="s">
        <v>48</v>
      </c>
      <c r="C15" s="25" t="s">
        <v>49</v>
      </c>
      <c r="D15" s="26" t="s">
        <v>20</v>
      </c>
      <c r="E15" s="46">
        <v>43798</v>
      </c>
      <c r="F15" s="47"/>
      <c r="G15" s="47"/>
      <c r="H15" s="48"/>
      <c r="I15" s="48"/>
      <c r="J15" s="49"/>
      <c r="K15" s="49"/>
      <c r="L15" s="48"/>
      <c r="M15" s="30">
        <v>25000</v>
      </c>
      <c r="N15" s="43">
        <f t="shared" si="0"/>
        <v>0.31601011580472133</v>
      </c>
      <c r="O15" s="31">
        <f t="shared" si="2"/>
        <v>0.31819999999999998</v>
      </c>
      <c r="P15" s="32">
        <f t="shared" si="1"/>
        <v>7955</v>
      </c>
      <c r="Q15" s="55"/>
    </row>
    <row r="16" spans="1:17" ht="39" customHeight="1" thickBot="1">
      <c r="A16" s="243" t="s">
        <v>21</v>
      </c>
      <c r="B16" s="244"/>
      <c r="C16" s="244"/>
      <c r="D16" s="245"/>
      <c r="E16" s="39"/>
      <c r="F16" s="39"/>
      <c r="G16" s="39"/>
      <c r="H16" s="39"/>
      <c r="I16" s="39"/>
      <c r="J16" s="39"/>
      <c r="K16" s="39"/>
      <c r="L16" s="39"/>
      <c r="M16" s="40">
        <f>SUM(M7:M15)</f>
        <v>2530847.5900000003</v>
      </c>
      <c r="N16" s="41"/>
      <c r="O16" s="52"/>
      <c r="P16" s="56">
        <f>SUM(P7:P15)</f>
        <v>804309.938998</v>
      </c>
      <c r="Q16" s="57"/>
    </row>
    <row r="18" spans="1:17" ht="18">
      <c r="A18" s="246"/>
      <c r="B18" s="246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</row>
    <row r="22" spans="1:17">
      <c r="M22" s="42"/>
    </row>
    <row r="23" spans="1:17">
      <c r="O23" s="42"/>
    </row>
    <row r="24" spans="1:17">
      <c r="M24" s="42"/>
    </row>
  </sheetData>
  <mergeCells count="4">
    <mergeCell ref="A1:Q1"/>
    <mergeCell ref="A5:Q5"/>
    <mergeCell ref="A16:D16"/>
    <mergeCell ref="A18:Q18"/>
  </mergeCells>
  <pageMargins left="0.7" right="0.7" top="0.75" bottom="0.75" header="0.3" footer="0.3"/>
  <pageSetup paperSize="9" orientation="portrait" horizont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3"/>
  <sheetViews>
    <sheetView zoomScale="70" zoomScaleNormal="70" workbookViewId="0">
      <selection activeCell="C6" sqref="C6"/>
    </sheetView>
  </sheetViews>
  <sheetFormatPr defaultColWidth="9" defaultRowHeight="14.25"/>
  <cols>
    <col min="1" max="1" width="5" style="1" customWidth="1"/>
    <col min="2" max="2" width="48.5" style="1" customWidth="1"/>
    <col min="3" max="3" width="47.625" style="1" customWidth="1"/>
    <col min="4" max="4" width="24.75" style="1" hidden="1" customWidth="1"/>
    <col min="5" max="5" width="16.125" style="1" hidden="1" customWidth="1"/>
    <col min="6" max="6" width="13.75" style="1" hidden="1" customWidth="1"/>
    <col min="7" max="8" width="17.625" style="1" hidden="1" customWidth="1"/>
    <col min="9" max="9" width="15.75" style="1" hidden="1" customWidth="1"/>
    <col min="10" max="11" width="17.125" style="1" hidden="1" customWidth="1"/>
    <col min="12" max="12" width="10.375" style="1" hidden="1" customWidth="1"/>
    <col min="13" max="13" width="18.625" style="1" hidden="1" customWidth="1"/>
    <col min="14" max="14" width="20.375" style="1" hidden="1" customWidth="1"/>
    <col min="15" max="16" width="19" style="1" hidden="1" customWidth="1"/>
    <col min="17" max="17" width="18.625" style="1" hidden="1" customWidth="1"/>
    <col min="18" max="18" width="29.25" style="1" customWidth="1"/>
    <col min="19" max="19" width="30.375" style="1" customWidth="1"/>
    <col min="20" max="21" width="25.75" style="1" customWidth="1"/>
    <col min="22" max="16384" width="9" style="1"/>
  </cols>
  <sheetData>
    <row r="1" spans="1:21" ht="77.25" customHeight="1">
      <c r="A1" s="238" t="s">
        <v>54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</row>
    <row r="2" spans="1:21" ht="20.25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6"/>
      <c r="P2" s="6"/>
      <c r="Q2" s="7"/>
      <c r="R2" s="8"/>
      <c r="S2" s="8"/>
      <c r="T2" s="8"/>
      <c r="U2" s="8"/>
    </row>
    <row r="3" spans="1:21" ht="18.75" thickBot="1">
      <c r="A3" s="9"/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4"/>
      <c r="P3" s="14"/>
      <c r="Q3" s="15"/>
      <c r="R3" s="15"/>
      <c r="S3" s="15"/>
      <c r="T3" s="15"/>
      <c r="U3" s="15"/>
    </row>
    <row r="4" spans="1:21" ht="63.75" thickBot="1">
      <c r="A4" s="16" t="s">
        <v>0</v>
      </c>
      <c r="B4" s="17" t="s">
        <v>1</v>
      </c>
      <c r="C4" s="17" t="s">
        <v>2</v>
      </c>
      <c r="D4" s="18" t="s">
        <v>3</v>
      </c>
      <c r="E4" s="18" t="s">
        <v>4</v>
      </c>
      <c r="F4" s="18" t="s">
        <v>23</v>
      </c>
      <c r="G4" s="18" t="s">
        <v>5</v>
      </c>
      <c r="H4" s="63" t="s">
        <v>53</v>
      </c>
      <c r="I4" s="20" t="s">
        <v>6</v>
      </c>
      <c r="J4" s="20" t="s">
        <v>7</v>
      </c>
      <c r="K4" s="20" t="s">
        <v>8</v>
      </c>
      <c r="L4" s="20" t="s">
        <v>9</v>
      </c>
      <c r="M4" s="18" t="s">
        <v>10</v>
      </c>
      <c r="N4" s="18" t="s">
        <v>11</v>
      </c>
      <c r="O4" s="21" t="s">
        <v>24</v>
      </c>
      <c r="P4" s="21" t="s">
        <v>12</v>
      </c>
      <c r="Q4" s="18" t="s">
        <v>13</v>
      </c>
      <c r="R4" s="22" t="s">
        <v>55</v>
      </c>
      <c r="S4" s="22" t="s">
        <v>56</v>
      </c>
      <c r="T4" s="22" t="s">
        <v>57</v>
      </c>
      <c r="U4" s="22" t="s">
        <v>58</v>
      </c>
    </row>
    <row r="5" spans="1:21" ht="102.75" customHeight="1">
      <c r="A5" s="149">
        <v>1</v>
      </c>
      <c r="B5" s="100" t="s">
        <v>19</v>
      </c>
      <c r="C5" s="101" t="s">
        <v>25</v>
      </c>
      <c r="D5" s="102" t="s">
        <v>20</v>
      </c>
      <c r="E5" s="103">
        <v>43749</v>
      </c>
      <c r="F5" s="104" t="s">
        <v>16</v>
      </c>
      <c r="G5" s="104" t="s">
        <v>22</v>
      </c>
      <c r="H5" s="104" t="s">
        <v>22</v>
      </c>
      <c r="I5" s="105" t="s">
        <v>18</v>
      </c>
      <c r="J5" s="105" t="s">
        <v>18</v>
      </c>
      <c r="K5" s="105" t="s">
        <v>18</v>
      </c>
      <c r="L5" s="106" t="s">
        <v>17</v>
      </c>
      <c r="M5" s="105" t="s">
        <v>18</v>
      </c>
      <c r="N5" s="107">
        <v>502882.07</v>
      </c>
      <c r="O5" s="108">
        <f t="shared" ref="O5:O15" si="0">$B$2/SUM(N$5:N$15)</f>
        <v>0</v>
      </c>
      <c r="P5" s="108">
        <f>Q5/N5</f>
        <v>0</v>
      </c>
      <c r="Q5" s="109">
        <f>IF(N5*O5&lt;159101.73,N5*O5,159101.73)</f>
        <v>0</v>
      </c>
      <c r="R5" s="168" t="s">
        <v>81</v>
      </c>
      <c r="S5" s="150" t="s">
        <v>82</v>
      </c>
      <c r="T5" s="151"/>
      <c r="U5" s="152"/>
    </row>
    <row r="6" spans="1:21" ht="87.75" customHeight="1">
      <c r="A6" s="34">
        <v>2</v>
      </c>
      <c r="B6" s="24" t="s">
        <v>26</v>
      </c>
      <c r="C6" s="25" t="s">
        <v>117</v>
      </c>
      <c r="D6" s="26" t="s">
        <v>27</v>
      </c>
      <c r="E6" s="27">
        <v>43787</v>
      </c>
      <c r="F6" s="28" t="s">
        <v>28</v>
      </c>
      <c r="G6" s="28" t="s">
        <v>29</v>
      </c>
      <c r="H6" s="28" t="s">
        <v>29</v>
      </c>
      <c r="I6" s="33" t="s">
        <v>17</v>
      </c>
      <c r="J6" s="33" t="s">
        <v>17</v>
      </c>
      <c r="K6" s="29">
        <f>98400*1.23</f>
        <v>121032</v>
      </c>
      <c r="L6" s="33"/>
      <c r="M6" s="29">
        <f>3000*1.23</f>
        <v>3690</v>
      </c>
      <c r="N6" s="30">
        <v>124722</v>
      </c>
      <c r="O6" s="31">
        <f t="shared" si="0"/>
        <v>0</v>
      </c>
      <c r="P6" s="31">
        <f t="shared" ref="P6:P15" si="1">Q6/N6</f>
        <v>0</v>
      </c>
      <c r="Q6" s="32">
        <f t="shared" ref="Q6:Q15" si="2">IF(N6*O6&lt;159101.73,N6*O6,159101.73)</f>
        <v>0</v>
      </c>
      <c r="R6" s="141" t="s">
        <v>79</v>
      </c>
      <c r="S6" s="140" t="s">
        <v>82</v>
      </c>
      <c r="T6" s="141"/>
      <c r="U6" s="153"/>
    </row>
    <row r="7" spans="1:21" ht="101.25" customHeight="1">
      <c r="A7" s="23">
        <v>3</v>
      </c>
      <c r="B7" s="24" t="s">
        <v>31</v>
      </c>
      <c r="C7" s="25" t="s">
        <v>32</v>
      </c>
      <c r="D7" s="26" t="s">
        <v>20</v>
      </c>
      <c r="E7" s="27">
        <v>43791</v>
      </c>
      <c r="F7" s="28" t="s">
        <v>16</v>
      </c>
      <c r="G7" s="28" t="s">
        <v>29</v>
      </c>
      <c r="H7" s="28" t="s">
        <v>29</v>
      </c>
      <c r="I7" s="29">
        <v>367927.1</v>
      </c>
      <c r="J7" s="29">
        <v>491072.06</v>
      </c>
      <c r="K7" s="29">
        <v>151147.66</v>
      </c>
      <c r="L7" s="33"/>
      <c r="M7" s="29" t="s">
        <v>30</v>
      </c>
      <c r="N7" s="30">
        <v>1242480.5900000001</v>
      </c>
      <c r="O7" s="31">
        <f t="shared" si="0"/>
        <v>0</v>
      </c>
      <c r="P7" s="31">
        <f t="shared" si="1"/>
        <v>0</v>
      </c>
      <c r="Q7" s="32">
        <f t="shared" si="2"/>
        <v>0</v>
      </c>
      <c r="R7" s="141" t="s">
        <v>79</v>
      </c>
      <c r="S7" s="141" t="s">
        <v>78</v>
      </c>
      <c r="T7" s="141"/>
      <c r="U7" s="153"/>
    </row>
    <row r="8" spans="1:21" ht="102" customHeight="1">
      <c r="A8" s="23">
        <v>4</v>
      </c>
      <c r="B8" s="24" t="s">
        <v>40</v>
      </c>
      <c r="C8" s="25" t="s">
        <v>41</v>
      </c>
      <c r="D8" s="26" t="s">
        <v>27</v>
      </c>
      <c r="E8" s="35">
        <v>43796</v>
      </c>
      <c r="F8" s="28" t="s">
        <v>16</v>
      </c>
      <c r="G8" s="28" t="s">
        <v>29</v>
      </c>
      <c r="H8" s="28" t="s">
        <v>22</v>
      </c>
      <c r="I8" s="36"/>
      <c r="J8" s="37"/>
      <c r="K8" s="37"/>
      <c r="L8" s="37"/>
      <c r="M8" s="37"/>
      <c r="N8" s="30">
        <v>380222.67</v>
      </c>
      <c r="O8" s="31">
        <f t="shared" si="0"/>
        <v>0</v>
      </c>
      <c r="P8" s="31">
        <f t="shared" si="1"/>
        <v>0</v>
      </c>
      <c r="Q8" s="32">
        <f t="shared" si="2"/>
        <v>0</v>
      </c>
      <c r="R8" s="141" t="s">
        <v>79</v>
      </c>
      <c r="S8" s="140" t="s">
        <v>82</v>
      </c>
      <c r="T8" s="146"/>
      <c r="U8" s="133"/>
    </row>
    <row r="9" spans="1:21" ht="97.9" customHeight="1">
      <c r="A9" s="34">
        <v>5</v>
      </c>
      <c r="B9" s="24" t="s">
        <v>42</v>
      </c>
      <c r="C9" s="25" t="s">
        <v>43</v>
      </c>
      <c r="D9" s="26" t="s">
        <v>27</v>
      </c>
      <c r="E9" s="35">
        <v>43797</v>
      </c>
      <c r="F9" s="28" t="s">
        <v>16</v>
      </c>
      <c r="G9" s="28" t="s">
        <v>29</v>
      </c>
      <c r="H9" s="28" t="s">
        <v>29</v>
      </c>
      <c r="I9" s="36"/>
      <c r="J9" s="37"/>
      <c r="K9" s="37"/>
      <c r="L9" s="37"/>
      <c r="M9" s="37"/>
      <c r="N9" s="30">
        <f>355000*1.23</f>
        <v>436650</v>
      </c>
      <c r="O9" s="31">
        <f t="shared" si="0"/>
        <v>0</v>
      </c>
      <c r="P9" s="31">
        <f t="shared" si="1"/>
        <v>0</v>
      </c>
      <c r="Q9" s="32">
        <f t="shared" si="2"/>
        <v>0</v>
      </c>
      <c r="R9" s="141" t="s">
        <v>79</v>
      </c>
      <c r="S9" s="147" t="s">
        <v>82</v>
      </c>
      <c r="T9" s="146"/>
      <c r="U9" s="133"/>
    </row>
    <row r="10" spans="1:21" ht="71.25" customHeight="1">
      <c r="A10" s="23">
        <v>6</v>
      </c>
      <c r="B10" s="24" t="s">
        <v>45</v>
      </c>
      <c r="C10" s="25" t="s">
        <v>44</v>
      </c>
      <c r="D10" s="26" t="s">
        <v>27</v>
      </c>
      <c r="E10" s="35">
        <v>43797</v>
      </c>
      <c r="F10" s="28" t="s">
        <v>16</v>
      </c>
      <c r="G10" s="28" t="s">
        <v>29</v>
      </c>
      <c r="H10" s="28" t="s">
        <v>22</v>
      </c>
      <c r="I10" s="36"/>
      <c r="J10" s="37"/>
      <c r="K10" s="37"/>
      <c r="L10" s="37"/>
      <c r="M10" s="37"/>
      <c r="N10" s="30">
        <v>31078.22</v>
      </c>
      <c r="O10" s="31">
        <f t="shared" si="0"/>
        <v>0</v>
      </c>
      <c r="P10" s="31">
        <f t="shared" si="1"/>
        <v>0</v>
      </c>
      <c r="Q10" s="32">
        <f t="shared" si="2"/>
        <v>0</v>
      </c>
      <c r="R10" s="141" t="s">
        <v>80</v>
      </c>
      <c r="S10" s="169" t="s">
        <v>74</v>
      </c>
      <c r="T10" s="146" t="s">
        <v>78</v>
      </c>
      <c r="U10" s="133"/>
    </row>
    <row r="11" spans="1:21" s="92" customFormat="1" ht="62.25" customHeight="1">
      <c r="A11" s="87">
        <v>7</v>
      </c>
      <c r="B11" s="93" t="s">
        <v>33</v>
      </c>
      <c r="C11" s="94" t="s">
        <v>34</v>
      </c>
      <c r="D11" s="88" t="s">
        <v>27</v>
      </c>
      <c r="E11" s="95">
        <v>43795</v>
      </c>
      <c r="F11" s="96" t="s">
        <v>35</v>
      </c>
      <c r="G11" s="96" t="s">
        <v>29</v>
      </c>
      <c r="H11" s="96" t="s">
        <v>22</v>
      </c>
      <c r="I11" s="97"/>
      <c r="J11" s="97"/>
      <c r="K11" s="97"/>
      <c r="L11" s="98"/>
      <c r="M11" s="97"/>
      <c r="N11" s="89">
        <v>369392.5</v>
      </c>
      <c r="O11" s="90">
        <f t="shared" si="0"/>
        <v>0</v>
      </c>
      <c r="P11" s="90">
        <f>Q11/N11</f>
        <v>0</v>
      </c>
      <c r="Q11" s="91">
        <f>IF(N11*O11&lt;159101.73,N11*O11,159101.73)</f>
        <v>0</v>
      </c>
      <c r="R11" s="137" t="s">
        <v>59</v>
      </c>
      <c r="S11" s="136" t="s">
        <v>87</v>
      </c>
      <c r="T11" s="273" t="s">
        <v>75</v>
      </c>
      <c r="U11" s="274"/>
    </row>
    <row r="12" spans="1:21" ht="109.5" customHeight="1">
      <c r="A12" s="23">
        <v>8</v>
      </c>
      <c r="B12" s="134" t="s">
        <v>36</v>
      </c>
      <c r="C12" s="135" t="s">
        <v>83</v>
      </c>
      <c r="D12" s="26" t="s">
        <v>38</v>
      </c>
      <c r="E12" s="35">
        <v>43795</v>
      </c>
      <c r="F12" s="28" t="s">
        <v>16</v>
      </c>
      <c r="G12" s="28" t="s">
        <v>29</v>
      </c>
      <c r="H12" s="28" t="s">
        <v>29</v>
      </c>
      <c r="I12" s="36"/>
      <c r="J12" s="37"/>
      <c r="K12" s="37"/>
      <c r="L12" s="37"/>
      <c r="M12" s="37"/>
      <c r="N12" s="30">
        <v>398000</v>
      </c>
      <c r="O12" s="31">
        <f t="shared" si="0"/>
        <v>0</v>
      </c>
      <c r="P12" s="31">
        <f>Q12/N12</f>
        <v>0</v>
      </c>
      <c r="Q12" s="32">
        <f>IF(N12*O12&lt;159101.73,N12*O12,159101.73)</f>
        <v>0</v>
      </c>
      <c r="R12" s="138" t="s">
        <v>79</v>
      </c>
      <c r="S12" s="139" t="s">
        <v>87</v>
      </c>
      <c r="T12" s="275" t="s">
        <v>75</v>
      </c>
      <c r="U12" s="276"/>
    </row>
    <row r="13" spans="1:21" s="92" customFormat="1" ht="74.25" customHeight="1">
      <c r="A13" s="87">
        <v>9</v>
      </c>
      <c r="B13" s="93" t="s">
        <v>39</v>
      </c>
      <c r="C13" s="142" t="s">
        <v>52</v>
      </c>
      <c r="D13" s="88" t="s">
        <v>27</v>
      </c>
      <c r="E13" s="143">
        <v>43795</v>
      </c>
      <c r="F13" s="96" t="s">
        <v>28</v>
      </c>
      <c r="G13" s="96" t="s">
        <v>29</v>
      </c>
      <c r="H13" s="96" t="s">
        <v>22</v>
      </c>
      <c r="I13" s="144"/>
      <c r="J13" s="145"/>
      <c r="K13" s="145"/>
      <c r="L13" s="145"/>
      <c r="M13" s="145"/>
      <c r="N13" s="89">
        <v>236046.46</v>
      </c>
      <c r="O13" s="90">
        <f t="shared" si="0"/>
        <v>0</v>
      </c>
      <c r="P13" s="90">
        <f>Q13/N13</f>
        <v>0</v>
      </c>
      <c r="Q13" s="91">
        <f>IF(N13*O13&lt;159101.73,N13*O13,159101.73)</f>
        <v>0</v>
      </c>
      <c r="R13" s="137" t="s">
        <v>59</v>
      </c>
      <c r="S13" s="139" t="s">
        <v>87</v>
      </c>
      <c r="T13" s="275" t="s">
        <v>75</v>
      </c>
      <c r="U13" s="276"/>
    </row>
    <row r="14" spans="1:21" ht="81" customHeight="1">
      <c r="A14" s="68">
        <v>10</v>
      </c>
      <c r="B14" s="93" t="s">
        <v>45</v>
      </c>
      <c r="C14" s="94" t="s">
        <v>46</v>
      </c>
      <c r="D14" s="88" t="s">
        <v>47</v>
      </c>
      <c r="E14" s="95">
        <v>43797</v>
      </c>
      <c r="F14" s="96"/>
      <c r="G14" s="96"/>
      <c r="H14" s="96"/>
      <c r="I14" s="97"/>
      <c r="J14" s="97"/>
      <c r="K14" s="98"/>
      <c r="L14" s="98"/>
      <c r="M14" s="97"/>
      <c r="N14" s="89">
        <v>9949.23</v>
      </c>
      <c r="O14" s="90">
        <f t="shared" si="0"/>
        <v>0</v>
      </c>
      <c r="P14" s="90">
        <f t="shared" si="1"/>
        <v>0</v>
      </c>
      <c r="Q14" s="91">
        <f t="shared" si="2"/>
        <v>0</v>
      </c>
      <c r="R14" s="148" t="s">
        <v>60</v>
      </c>
      <c r="S14" s="273" t="s">
        <v>75</v>
      </c>
      <c r="T14" s="273"/>
      <c r="U14" s="274"/>
    </row>
    <row r="15" spans="1:21" ht="82.5" customHeight="1" thickBot="1">
      <c r="A15" s="154">
        <v>11</v>
      </c>
      <c r="B15" s="155" t="s">
        <v>48</v>
      </c>
      <c r="C15" s="156" t="s">
        <v>85</v>
      </c>
      <c r="D15" s="157" t="s">
        <v>20</v>
      </c>
      <c r="E15" s="158">
        <v>43798</v>
      </c>
      <c r="F15" s="159" t="s">
        <v>16</v>
      </c>
      <c r="G15" s="159" t="s">
        <v>29</v>
      </c>
      <c r="H15" s="159" t="s">
        <v>29</v>
      </c>
      <c r="I15" s="160"/>
      <c r="J15" s="160"/>
      <c r="K15" s="161"/>
      <c r="L15" s="161"/>
      <c r="M15" s="160"/>
      <c r="N15" s="162">
        <v>25000</v>
      </c>
      <c r="O15" s="163">
        <f t="shared" si="0"/>
        <v>0</v>
      </c>
      <c r="P15" s="163">
        <f t="shared" si="1"/>
        <v>0</v>
      </c>
      <c r="Q15" s="164">
        <f t="shared" si="2"/>
        <v>0</v>
      </c>
      <c r="R15" s="165" t="s">
        <v>79</v>
      </c>
      <c r="S15" s="166" t="s">
        <v>84</v>
      </c>
      <c r="T15" s="165" t="s">
        <v>86</v>
      </c>
      <c r="U15" s="167" t="s">
        <v>75</v>
      </c>
    </row>
    <row r="17" spans="1:18" ht="18">
      <c r="A17" s="246"/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</row>
    <row r="21" spans="1:18">
      <c r="N21" s="42"/>
    </row>
    <row r="22" spans="1:18">
      <c r="P22" s="42"/>
    </row>
    <row r="23" spans="1:18">
      <c r="N23" s="42"/>
    </row>
  </sheetData>
  <mergeCells count="6">
    <mergeCell ref="A1:R1"/>
    <mergeCell ref="A17:R17"/>
    <mergeCell ref="S14:U14"/>
    <mergeCell ref="T11:U11"/>
    <mergeCell ref="T12:U12"/>
    <mergeCell ref="T13:U13"/>
  </mergeCells>
  <pageMargins left="0.70866141732283472" right="0.70866141732283472" top="0.35433070866141736" bottom="0.74803149606299213" header="0.31496062992125984" footer="0.31496062992125984"/>
  <pageSetup paperSize="9" scale="46" orientation="landscape" horizontalDpi="4294967292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5</vt:i4>
      </vt:variant>
    </vt:vector>
  </HeadingPairs>
  <TitlesOfParts>
    <vt:vector size="15" baseType="lpstr">
      <vt:lpstr>bez Kumaków</vt:lpstr>
      <vt:lpstr>podział 30.04.2020 z wył. Kumak</vt:lpstr>
      <vt:lpstr>podział 28.04.2020 do 30tys</vt:lpstr>
      <vt:lpstr>podział 23.04.2020 przetargi</vt:lpstr>
      <vt:lpstr>zestawienie wniosków</vt:lpstr>
      <vt:lpstr>Arkusz1</vt:lpstr>
      <vt:lpstr>Arkusz1 (2)</vt:lpstr>
      <vt:lpstr>Arkusz1 (3)</vt:lpstr>
      <vt:lpstr>Arkusz2</vt:lpstr>
      <vt:lpstr>Arkusz1 (4)</vt:lpstr>
      <vt:lpstr>Arkusz1!Obszar_wydruku</vt:lpstr>
      <vt:lpstr>Arkusz2!Obszar_wydruku</vt:lpstr>
      <vt:lpstr>'podział 23.04.2020 przetargi'!Obszar_wydruku</vt:lpstr>
      <vt:lpstr>'podział 28.04.2020 do 30tys'!Obszar_wydruku</vt:lpstr>
      <vt:lpstr>'podział 30.04.2020 z wył. Kumak'!Obszar_wydruku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achudom</dc:creator>
  <cp:lastModifiedBy>ilipczyn</cp:lastModifiedBy>
  <cp:lastPrinted>2025-02-03T11:50:47Z</cp:lastPrinted>
  <dcterms:created xsi:type="dcterms:W3CDTF">2018-12-11T08:32:11Z</dcterms:created>
  <dcterms:modified xsi:type="dcterms:W3CDTF">2025-02-03T11:59:33Z</dcterms:modified>
</cp:coreProperties>
</file>